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F69E2C43-12A5-4114-8C8E-037FBE3EF558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97" i="4" l="1"/>
  <c r="Z97" i="4" s="1"/>
  <c r="BF97" i="4"/>
  <c r="BD97" i="4"/>
  <c r="AP97" i="4"/>
  <c r="BI97" i="4" s="1"/>
  <c r="AO97" i="4"/>
  <c r="AW97" i="4" s="1"/>
  <c r="AK97" i="4"/>
  <c r="AT96" i="4" s="1"/>
  <c r="AJ97" i="4"/>
  <c r="AS96" i="4" s="1"/>
  <c r="AH97" i="4"/>
  <c r="AG97" i="4"/>
  <c r="AF97" i="4"/>
  <c r="AE97" i="4"/>
  <c r="AD97" i="4"/>
  <c r="AC97" i="4"/>
  <c r="AB97" i="4"/>
  <c r="I97" i="4"/>
  <c r="AL97" i="4" s="1"/>
  <c r="AU96" i="4" s="1"/>
  <c r="I96" i="4"/>
  <c r="G23" i="1" s="1"/>
  <c r="I23" i="1" s="1"/>
  <c r="BJ94" i="4"/>
  <c r="BF94" i="4"/>
  <c r="BD94" i="4"/>
  <c r="AP94" i="4"/>
  <c r="BI94" i="4" s="1"/>
  <c r="AO94" i="4"/>
  <c r="BH94" i="4" s="1"/>
  <c r="AK94" i="4"/>
  <c r="AT93" i="4" s="1"/>
  <c r="AJ94" i="4"/>
  <c r="AS93" i="4" s="1"/>
  <c r="AH94" i="4"/>
  <c r="AG94" i="4"/>
  <c r="AF94" i="4"/>
  <c r="AE94" i="4"/>
  <c r="AD94" i="4"/>
  <c r="AC94" i="4"/>
  <c r="AB94" i="4"/>
  <c r="Z94" i="4"/>
  <c r="I94" i="4"/>
  <c r="I93" i="4" s="1"/>
  <c r="G22" i="1" s="1"/>
  <c r="I22" i="1" s="1"/>
  <c r="BJ87" i="4"/>
  <c r="BF87" i="4"/>
  <c r="BD87" i="4"/>
  <c r="AP87" i="4"/>
  <c r="BI87" i="4" s="1"/>
  <c r="AC87" i="4" s="1"/>
  <c r="AO87" i="4"/>
  <c r="BH87" i="4" s="1"/>
  <c r="AB87" i="4" s="1"/>
  <c r="AK87" i="4"/>
  <c r="AT86" i="4" s="1"/>
  <c r="AJ87" i="4"/>
  <c r="AS86" i="4" s="1"/>
  <c r="AH87" i="4"/>
  <c r="AG87" i="4"/>
  <c r="AF87" i="4"/>
  <c r="AE87" i="4"/>
  <c r="AD87" i="4"/>
  <c r="Z87" i="4"/>
  <c r="I87" i="4"/>
  <c r="AL87" i="4" s="1"/>
  <c r="AU86" i="4" s="1"/>
  <c r="BJ84" i="4"/>
  <c r="BF84" i="4"/>
  <c r="BD84" i="4"/>
  <c r="AP84" i="4"/>
  <c r="AX84" i="4" s="1"/>
  <c r="AO84" i="4"/>
  <c r="BH84" i="4" s="1"/>
  <c r="AB84" i="4" s="1"/>
  <c r="AK84" i="4"/>
  <c r="AJ84" i="4"/>
  <c r="AH84" i="4"/>
  <c r="AG84" i="4"/>
  <c r="AF84" i="4"/>
  <c r="AE84" i="4"/>
  <c r="AD84" i="4"/>
  <c r="Z84" i="4"/>
  <c r="I84" i="4"/>
  <c r="AL84" i="4" s="1"/>
  <c r="BJ82" i="4"/>
  <c r="BF82" i="4"/>
  <c r="BD82" i="4"/>
  <c r="AP82" i="4"/>
  <c r="BI82" i="4" s="1"/>
  <c r="AC82" i="4" s="1"/>
  <c r="AO82" i="4"/>
  <c r="AW82" i="4" s="1"/>
  <c r="AK82" i="4"/>
  <c r="AJ82" i="4"/>
  <c r="AH82" i="4"/>
  <c r="AG82" i="4"/>
  <c r="AF82" i="4"/>
  <c r="AE82" i="4"/>
  <c r="AD82" i="4"/>
  <c r="Z82" i="4"/>
  <c r="I82" i="4"/>
  <c r="AL82" i="4" s="1"/>
  <c r="BJ80" i="4"/>
  <c r="BF80" i="4"/>
  <c r="BD80" i="4"/>
  <c r="AP80" i="4"/>
  <c r="BI80" i="4" s="1"/>
  <c r="AC80" i="4" s="1"/>
  <c r="AO80" i="4"/>
  <c r="BH80" i="4" s="1"/>
  <c r="AB80" i="4" s="1"/>
  <c r="AK80" i="4"/>
  <c r="AT79" i="4" s="1"/>
  <c r="AJ80" i="4"/>
  <c r="AH80" i="4"/>
  <c r="AG80" i="4"/>
  <c r="AF80" i="4"/>
  <c r="AE80" i="4"/>
  <c r="AD80" i="4"/>
  <c r="Z80" i="4"/>
  <c r="I80" i="4"/>
  <c r="AL80" i="4" s="1"/>
  <c r="BJ76" i="4"/>
  <c r="BF76" i="4"/>
  <c r="BD76" i="4"/>
  <c r="AP76" i="4"/>
  <c r="BI76" i="4" s="1"/>
  <c r="AC76" i="4" s="1"/>
  <c r="AO76" i="4"/>
  <c r="BH76" i="4" s="1"/>
  <c r="AB76" i="4" s="1"/>
  <c r="AK76" i="4"/>
  <c r="AJ76" i="4"/>
  <c r="AH76" i="4"/>
  <c r="AG76" i="4"/>
  <c r="AF76" i="4"/>
  <c r="AE76" i="4"/>
  <c r="AD76" i="4"/>
  <c r="Z76" i="4"/>
  <c r="I76" i="4"/>
  <c r="AL76" i="4" s="1"/>
  <c r="BJ72" i="4"/>
  <c r="BF72" i="4"/>
  <c r="BD72" i="4"/>
  <c r="AP72" i="4"/>
  <c r="AX72" i="4" s="1"/>
  <c r="AO72" i="4"/>
  <c r="BH72" i="4" s="1"/>
  <c r="AB72" i="4" s="1"/>
  <c r="AK72" i="4"/>
  <c r="AJ72" i="4"/>
  <c r="AH72" i="4"/>
  <c r="AG72" i="4"/>
  <c r="AF72" i="4"/>
  <c r="AE72" i="4"/>
  <c r="AD72" i="4"/>
  <c r="Z72" i="4"/>
  <c r="I72" i="4"/>
  <c r="AL72" i="4" s="1"/>
  <c r="I71" i="4"/>
  <c r="G19" i="1" s="1"/>
  <c r="I19" i="1" s="1"/>
  <c r="BJ69" i="4"/>
  <c r="BF69" i="4"/>
  <c r="BD69" i="4"/>
  <c r="AP69" i="4"/>
  <c r="BI69" i="4" s="1"/>
  <c r="AC69" i="4" s="1"/>
  <c r="AO69" i="4"/>
  <c r="AW69" i="4" s="1"/>
  <c r="AK69" i="4"/>
  <c r="AJ69" i="4"/>
  <c r="AH69" i="4"/>
  <c r="AG69" i="4"/>
  <c r="AF69" i="4"/>
  <c r="AE69" i="4"/>
  <c r="AD69" i="4"/>
  <c r="Z69" i="4"/>
  <c r="I69" i="4"/>
  <c r="AL69" i="4" s="1"/>
  <c r="BJ67" i="4"/>
  <c r="BF67" i="4"/>
  <c r="BD67" i="4"/>
  <c r="AW67" i="4"/>
  <c r="AP67" i="4"/>
  <c r="BI67" i="4" s="1"/>
  <c r="AC67" i="4" s="1"/>
  <c r="AO67" i="4"/>
  <c r="BH67" i="4" s="1"/>
  <c r="AB67" i="4" s="1"/>
  <c r="AK67" i="4"/>
  <c r="AJ67" i="4"/>
  <c r="AH67" i="4"/>
  <c r="AG67" i="4"/>
  <c r="AF67" i="4"/>
  <c r="AE67" i="4"/>
  <c r="AD67" i="4"/>
  <c r="Z67" i="4"/>
  <c r="I67" i="4"/>
  <c r="AL67" i="4" s="1"/>
  <c r="BJ63" i="4"/>
  <c r="BF63" i="4"/>
  <c r="BD63" i="4"/>
  <c r="AP63" i="4"/>
  <c r="BI63" i="4" s="1"/>
  <c r="AC63" i="4" s="1"/>
  <c r="AO63" i="4"/>
  <c r="BH63" i="4" s="1"/>
  <c r="AB63" i="4" s="1"/>
  <c r="AK63" i="4"/>
  <c r="AJ63" i="4"/>
  <c r="AH63" i="4"/>
  <c r="AG63" i="4"/>
  <c r="AF63" i="4"/>
  <c r="AE63" i="4"/>
  <c r="AD63" i="4"/>
  <c r="Z63" i="4"/>
  <c r="I63" i="4"/>
  <c r="BJ59" i="4"/>
  <c r="BF59" i="4"/>
  <c r="BD59" i="4"/>
  <c r="AP59" i="4"/>
  <c r="AX59" i="4" s="1"/>
  <c r="AO59" i="4"/>
  <c r="BH59" i="4" s="1"/>
  <c r="AB59" i="4" s="1"/>
  <c r="AK59" i="4"/>
  <c r="AJ59" i="4"/>
  <c r="AH59" i="4"/>
  <c r="AG59" i="4"/>
  <c r="AF59" i="4"/>
  <c r="AE59" i="4"/>
  <c r="AD59" i="4"/>
  <c r="Z59" i="4"/>
  <c r="I59" i="4"/>
  <c r="AL59" i="4" s="1"/>
  <c r="BJ53" i="4"/>
  <c r="BF53" i="4"/>
  <c r="BD53" i="4"/>
  <c r="AP53" i="4"/>
  <c r="BI53" i="4" s="1"/>
  <c r="AC53" i="4" s="1"/>
  <c r="AO53" i="4"/>
  <c r="AW53" i="4" s="1"/>
  <c r="AK53" i="4"/>
  <c r="AT52" i="4" s="1"/>
  <c r="AJ53" i="4"/>
  <c r="AH53" i="4"/>
  <c r="AG53" i="4"/>
  <c r="AF53" i="4"/>
  <c r="AE53" i="4"/>
  <c r="AD53" i="4"/>
  <c r="Z53" i="4"/>
  <c r="I53" i="4"/>
  <c r="AL53" i="4" s="1"/>
  <c r="AU52" i="4" s="1"/>
  <c r="AS52" i="4"/>
  <c r="BJ50" i="4"/>
  <c r="BF50" i="4"/>
  <c r="BD50" i="4"/>
  <c r="AP50" i="4"/>
  <c r="BI50" i="4" s="1"/>
  <c r="AC50" i="4" s="1"/>
  <c r="AO50" i="4"/>
  <c r="BH50" i="4" s="1"/>
  <c r="AB50" i="4" s="1"/>
  <c r="AK50" i="4"/>
  <c r="AT49" i="4" s="1"/>
  <c r="AJ50" i="4"/>
  <c r="AH50" i="4"/>
  <c r="AG50" i="4"/>
  <c r="AF50" i="4"/>
  <c r="AE50" i="4"/>
  <c r="AD50" i="4"/>
  <c r="Z50" i="4"/>
  <c r="I50" i="4"/>
  <c r="I49" i="4" s="1"/>
  <c r="G16" i="1" s="1"/>
  <c r="I16" i="1" s="1"/>
  <c r="AS49" i="4"/>
  <c r="BJ47" i="4"/>
  <c r="BF47" i="4"/>
  <c r="BD47" i="4"/>
  <c r="AP47" i="4"/>
  <c r="BI47" i="4" s="1"/>
  <c r="AC47" i="4" s="1"/>
  <c r="AO47" i="4"/>
  <c r="BH47" i="4" s="1"/>
  <c r="AB47" i="4" s="1"/>
  <c r="AK47" i="4"/>
  <c r="AT46" i="4" s="1"/>
  <c r="AJ47" i="4"/>
  <c r="AS46" i="4" s="1"/>
  <c r="AH47" i="4"/>
  <c r="AG47" i="4"/>
  <c r="AF47" i="4"/>
  <c r="AE47" i="4"/>
  <c r="AD47" i="4"/>
  <c r="Z47" i="4"/>
  <c r="I47" i="4"/>
  <c r="AL47" i="4" s="1"/>
  <c r="AU46" i="4" s="1"/>
  <c r="BJ41" i="4"/>
  <c r="BF41" i="4"/>
  <c r="BD41" i="4"/>
  <c r="AP41" i="4"/>
  <c r="AX41" i="4" s="1"/>
  <c r="AO41" i="4"/>
  <c r="BH41" i="4" s="1"/>
  <c r="AB41" i="4" s="1"/>
  <c r="AK41" i="4"/>
  <c r="AT40" i="4" s="1"/>
  <c r="AJ41" i="4"/>
  <c r="AS40" i="4" s="1"/>
  <c r="AH41" i="4"/>
  <c r="AG41" i="4"/>
  <c r="AF41" i="4"/>
  <c r="AE41" i="4"/>
  <c r="AD41" i="4"/>
  <c r="Z41" i="4"/>
  <c r="I41" i="4"/>
  <c r="AL41" i="4" s="1"/>
  <c r="AU40" i="4" s="1"/>
  <c r="BJ35" i="4"/>
  <c r="BF35" i="4"/>
  <c r="BD35" i="4"/>
  <c r="AP35" i="4"/>
  <c r="BI35" i="4" s="1"/>
  <c r="AC35" i="4" s="1"/>
  <c r="AO35" i="4"/>
  <c r="AW35" i="4" s="1"/>
  <c r="AK35" i="4"/>
  <c r="AJ35" i="4"/>
  <c r="AH35" i="4"/>
  <c r="AG35" i="4"/>
  <c r="AF35" i="4"/>
  <c r="AE35" i="4"/>
  <c r="AD35" i="4"/>
  <c r="Z35" i="4"/>
  <c r="I35" i="4"/>
  <c r="AL35" i="4" s="1"/>
  <c r="BJ25" i="4"/>
  <c r="BF25" i="4"/>
  <c r="BD25" i="4"/>
  <c r="AP25" i="4"/>
  <c r="BI25" i="4" s="1"/>
  <c r="AC25" i="4" s="1"/>
  <c r="AO25" i="4"/>
  <c r="BH25" i="4" s="1"/>
  <c r="AB25" i="4" s="1"/>
  <c r="AK25" i="4"/>
  <c r="AJ25" i="4"/>
  <c r="AH25" i="4"/>
  <c r="AG25" i="4"/>
  <c r="AF25" i="4"/>
  <c r="AE25" i="4"/>
  <c r="AD25" i="4"/>
  <c r="Z25" i="4"/>
  <c r="I25" i="4"/>
  <c r="AL25" i="4" s="1"/>
  <c r="BJ22" i="4"/>
  <c r="BF22" i="4"/>
  <c r="BD22" i="4"/>
  <c r="AP22" i="4"/>
  <c r="BI22" i="4" s="1"/>
  <c r="AC22" i="4" s="1"/>
  <c r="AO22" i="4"/>
  <c r="BH22" i="4" s="1"/>
  <c r="AB22" i="4" s="1"/>
  <c r="AK22" i="4"/>
  <c r="AJ22" i="4"/>
  <c r="AH22" i="4"/>
  <c r="AG22" i="4"/>
  <c r="AF22" i="4"/>
  <c r="AE22" i="4"/>
  <c r="AD22" i="4"/>
  <c r="Z22" i="4"/>
  <c r="I22" i="4"/>
  <c r="AL22" i="4" s="1"/>
  <c r="BJ20" i="4"/>
  <c r="BF20" i="4"/>
  <c r="BD20" i="4"/>
  <c r="AP20" i="4"/>
  <c r="AX20" i="4" s="1"/>
  <c r="AO20" i="4"/>
  <c r="BH20" i="4" s="1"/>
  <c r="AB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P18" i="4"/>
  <c r="BI18" i="4" s="1"/>
  <c r="AC18" i="4" s="1"/>
  <c r="AO18" i="4"/>
  <c r="AW18" i="4" s="1"/>
  <c r="AK18" i="4"/>
  <c r="AJ18" i="4"/>
  <c r="AH18" i="4"/>
  <c r="AG18" i="4"/>
  <c r="AF18" i="4"/>
  <c r="AE18" i="4"/>
  <c r="AD18" i="4"/>
  <c r="Z18" i="4"/>
  <c r="I18" i="4"/>
  <c r="AL18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C18" i="2" s="1"/>
  <c r="AE14" i="4"/>
  <c r="AD14" i="4"/>
  <c r="Z14" i="4"/>
  <c r="I14" i="4"/>
  <c r="AL14" i="4" s="1"/>
  <c r="AU1" i="4"/>
  <c r="AT1" i="4"/>
  <c r="AS1" i="4"/>
  <c r="I35" i="3"/>
  <c r="I36" i="3" s="1"/>
  <c r="I24" i="2" s="1"/>
  <c r="I26" i="3"/>
  <c r="I25" i="3"/>
  <c r="I18" i="2" s="1"/>
  <c r="I24" i="3"/>
  <c r="I23" i="3"/>
  <c r="I16" i="2" s="1"/>
  <c r="I22" i="3"/>
  <c r="I15" i="2" s="1"/>
  <c r="I21" i="3"/>
  <c r="I14" i="2" s="1"/>
  <c r="I17" i="3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I19" i="2"/>
  <c r="I17" i="2"/>
  <c r="F16" i="2"/>
  <c r="I10" i="2"/>
  <c r="C10" i="2"/>
  <c r="F8" i="2"/>
  <c r="F6" i="2"/>
  <c r="C6" i="2"/>
  <c r="F4" i="2"/>
  <c r="C4" i="2"/>
  <c r="F2" i="2"/>
  <c r="C2" i="2"/>
  <c r="I11" i="1"/>
  <c r="G8" i="1"/>
  <c r="G6" i="1"/>
  <c r="C6" i="1"/>
  <c r="G4" i="1"/>
  <c r="C4" i="1"/>
  <c r="G2" i="1"/>
  <c r="C2" i="1"/>
  <c r="AS58" i="4" l="1"/>
  <c r="AX97" i="4"/>
  <c r="AS24" i="4"/>
  <c r="AS71" i="4"/>
  <c r="AW84" i="4"/>
  <c r="AV84" i="4" s="1"/>
  <c r="C20" i="2"/>
  <c r="AL50" i="4"/>
  <c r="AU49" i="4" s="1"/>
  <c r="AX94" i="4"/>
  <c r="AU13" i="4"/>
  <c r="AW41" i="4"/>
  <c r="BC41" i="4" s="1"/>
  <c r="AX47" i="4"/>
  <c r="AS79" i="4"/>
  <c r="I86" i="4"/>
  <c r="G21" i="1" s="1"/>
  <c r="I21" i="1" s="1"/>
  <c r="AX69" i="4"/>
  <c r="C19" i="2"/>
  <c r="C27" i="2"/>
  <c r="I40" i="4"/>
  <c r="G14" i="1" s="1"/>
  <c r="I14" i="1" s="1"/>
  <c r="AX53" i="4"/>
  <c r="BC53" i="4" s="1"/>
  <c r="AX63" i="4"/>
  <c r="AX76" i="4"/>
  <c r="AX82" i="4"/>
  <c r="AV82" i="4" s="1"/>
  <c r="I22" i="2"/>
  <c r="AS13" i="4"/>
  <c r="AU24" i="4"/>
  <c r="AT24" i="4"/>
  <c r="AW59" i="4"/>
  <c r="AV59" i="4" s="1"/>
  <c r="AW72" i="4"/>
  <c r="BC72" i="4" s="1"/>
  <c r="AW80" i="4"/>
  <c r="C21" i="2"/>
  <c r="I52" i="4"/>
  <c r="G17" i="1" s="1"/>
  <c r="I17" i="1" s="1"/>
  <c r="C28" i="2"/>
  <c r="F28" i="2" s="1"/>
  <c r="AL94" i="4"/>
  <c r="AU93" i="4" s="1"/>
  <c r="C17" i="2"/>
  <c r="AX22" i="4"/>
  <c r="AX35" i="4"/>
  <c r="AV35" i="4" s="1"/>
  <c r="I46" i="4"/>
  <c r="G15" i="1" s="1"/>
  <c r="I15" i="1" s="1"/>
  <c r="C16" i="2"/>
  <c r="AX18" i="4"/>
  <c r="AW20" i="4"/>
  <c r="BC20" i="4" s="1"/>
  <c r="AW25" i="4"/>
  <c r="BC25" i="4" s="1"/>
  <c r="I58" i="4"/>
  <c r="G18" i="1" s="1"/>
  <c r="I18" i="1" s="1"/>
  <c r="AT58" i="4"/>
  <c r="AU71" i="4"/>
  <c r="AT71" i="4"/>
  <c r="I18" i="3"/>
  <c r="AX14" i="4"/>
  <c r="AW16" i="4"/>
  <c r="AW50" i="4"/>
  <c r="BC84" i="4"/>
  <c r="AW94" i="4"/>
  <c r="AV94" i="4" s="1"/>
  <c r="AV41" i="4"/>
  <c r="AV20" i="4"/>
  <c r="AV69" i="4"/>
  <c r="BC69" i="4"/>
  <c r="AU79" i="4"/>
  <c r="AV97" i="4"/>
  <c r="BC97" i="4"/>
  <c r="AV18" i="4"/>
  <c r="BC18" i="4"/>
  <c r="AV53" i="4"/>
  <c r="AT13" i="4"/>
  <c r="BH18" i="4"/>
  <c r="AB18" i="4" s="1"/>
  <c r="BH35" i="4"/>
  <c r="AB35" i="4" s="1"/>
  <c r="BI59" i="4"/>
  <c r="AC59" i="4" s="1"/>
  <c r="BH97" i="4"/>
  <c r="AW14" i="4"/>
  <c r="AX16" i="4"/>
  <c r="AV16" i="4" s="1"/>
  <c r="AW22" i="4"/>
  <c r="I24" i="4"/>
  <c r="G13" i="1" s="1"/>
  <c r="I13" i="1" s="1"/>
  <c r="AX25" i="4"/>
  <c r="AV25" i="4" s="1"/>
  <c r="AW47" i="4"/>
  <c r="AX50" i="4"/>
  <c r="AV50" i="4" s="1"/>
  <c r="AL63" i="4"/>
  <c r="AU58" i="4" s="1"/>
  <c r="AW63" i="4"/>
  <c r="AX67" i="4"/>
  <c r="AV67" i="4" s="1"/>
  <c r="AW76" i="4"/>
  <c r="I79" i="4"/>
  <c r="G20" i="1" s="1"/>
  <c r="I20" i="1" s="1"/>
  <c r="AX80" i="4"/>
  <c r="AW87" i="4"/>
  <c r="BH53" i="4"/>
  <c r="AB53" i="4" s="1"/>
  <c r="BI72" i="4"/>
  <c r="AC72" i="4" s="1"/>
  <c r="BI84" i="4"/>
  <c r="AC84" i="4" s="1"/>
  <c r="F14" i="2"/>
  <c r="F22" i="2" s="1"/>
  <c r="I27" i="3"/>
  <c r="F29" i="3" s="1"/>
  <c r="I13" i="4"/>
  <c r="AX87" i="4"/>
  <c r="BC94" i="4"/>
  <c r="BI20" i="4"/>
  <c r="AC20" i="4" s="1"/>
  <c r="BI41" i="4"/>
  <c r="AC41" i="4" s="1"/>
  <c r="BH69" i="4"/>
  <c r="AB69" i="4" s="1"/>
  <c r="BH82" i="4"/>
  <c r="AB82" i="4" s="1"/>
  <c r="BC80" i="4" l="1"/>
  <c r="BC50" i="4"/>
  <c r="BC82" i="4"/>
  <c r="C29" i="2"/>
  <c r="F29" i="2" s="1"/>
  <c r="C14" i="2"/>
  <c r="BC35" i="4"/>
  <c r="BC59" i="4"/>
  <c r="AV80" i="4"/>
  <c r="AV72" i="4"/>
  <c r="C15" i="2"/>
  <c r="BC87" i="4"/>
  <c r="AV87" i="4"/>
  <c r="BC16" i="4"/>
  <c r="BC63" i="4"/>
  <c r="AV63" i="4"/>
  <c r="BC14" i="4"/>
  <c r="AV14" i="4"/>
  <c r="BC76" i="4"/>
  <c r="AV76" i="4"/>
  <c r="BC22" i="4"/>
  <c r="AV22" i="4"/>
  <c r="BC47" i="4"/>
  <c r="AV47" i="4"/>
  <c r="BC67" i="4"/>
  <c r="I98" i="4"/>
  <c r="I12" i="4"/>
  <c r="G11" i="1" s="1"/>
  <c r="G12" i="1"/>
  <c r="I12" i="1" s="1"/>
  <c r="G24" i="1" s="1"/>
  <c r="I28" i="2"/>
  <c r="I29" i="2" l="1"/>
  <c r="C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Švrčková Lenka</author>
  </authors>
  <commentList>
    <comment ref="A1" authorId="0" shapeId="0" xr:uid="{31B12623-AD6F-42EB-A027-8EC41F28A98C}">
      <text>
        <r>
          <rPr>
            <b/>
            <sz val="9"/>
            <color indexed="81"/>
            <rFont val="Tahoma"/>
            <charset val="1"/>
          </rPr>
          <t>Švrčková Lenka: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<sst xmlns="http://schemas.openxmlformats.org/spreadsheetml/2006/main" count="759" uniqueCount="242">
  <si>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</si>
  <si>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</si>
  <si>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</si>
  <si>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</si>
  <si>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</si>
  <si>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</si>
  <si>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</si>
  <si>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11.10.2024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</si>
  <si>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</si>
  <si>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</si>
  <si>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</si>
  <si>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</si>
  <si>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</si>
  <si>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</si>
  <si>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</si>
  <si>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</si>
  <si>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</si>
  <si>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</si>
  <si>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>N</t>
  </si>
  <si>
    <t/>
  </si>
  <si>
    <t>Nezařazeno</t>
  </si>
  <si>
    <t>F</t>
  </si>
  <si>
    <t>12VD</t>
  </si>
  <si>
    <t>000 VRN</t>
  </si>
  <si>
    <t>T</t>
  </si>
  <si>
    <t>11</t>
  </si>
  <si>
    <t>Přípravné a přidružené práce</t>
  </si>
  <si>
    <t>13</t>
  </si>
  <si>
    <t>Hloubené vykopávky</t>
  </si>
  <si>
    <t>16</t>
  </si>
  <si>
    <t>Přemístění výkopku</t>
  </si>
  <si>
    <t>17</t>
  </si>
  <si>
    <t>Konstrukce ze zemin</t>
  </si>
  <si>
    <t>45</t>
  </si>
  <si>
    <t>Podkladní a vedlejší konstrukce (kromě vozovek a železničního svršku)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</si>
  <si>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</si>
  <si>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</si>
  <si>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</si>
  <si>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</si>
  <si>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</si>
  <si>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</si>
  <si>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</si>
  <si>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</si>
  <si>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H22</t>
  </si>
  <si>
    <t>Komunikace pozemní a letiště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</si>
  <si>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</si>
  <si>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</si>
  <si>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</si>
  <si>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</si>
  <si>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</si>
  <si>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</si>
  <si>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</si>
  <si>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</si>
  <si>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</si>
  <si>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</si>
  <si>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</si>
  <si>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</si>
  <si>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</si>
  <si>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</si>
  <si>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</si>
  <si>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</si>
  <si>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</si>
  <si>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</si>
  <si>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</si>
  <si>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</si>
  <si>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</si>
  <si>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</si>
  <si>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</si>
  <si>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</si>
  <si>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</si>
  <si>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</si>
  <si>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</si>
  <si>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</si>
  <si>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</si>
  <si>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</si>
  <si>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</si>
  <si>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</si>
  <si>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</si>
  <si>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</si>
  <si>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</si>
  <si>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</si>
  <si>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</si>
  <si>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</si>
  <si>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</si>
  <si>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</si>
  <si>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</si>
  <si>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</si>
  <si>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</si>
  <si>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</si>
  <si>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</si>
  <si>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</si>
  <si>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</si>
  <si>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</si>
  <si>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</si>
  <si>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</si>
  <si>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</si>
  <si>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</si>
  <si>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</si>
  <si>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</si>
  <si>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</si>
  <si>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</si>
  <si>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</si>
  <si>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</si>
  <si>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</si>
  <si>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</si>
  <si>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</si>
  <si>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</si>
  <si>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</si>
  <si>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24154 Bruntál, oprava MK Pod Vrbami a část ul. Kavalcova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</si>
  <si>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</si>
  <si>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</si>
  <si>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</si>
  <si>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</si>
  <si>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</si>
  <si>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</si>
  <si>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</si>
  <si>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</si>
  <si>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</si>
  <si>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</si>
  <si>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</si>
  <si>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</si>
  <si>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</si>
  <si>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</si>
  <si>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</si>
  <si>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</si>
  <si>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</si>
  <si>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</si>
  <si>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</si>
  <si>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</si>
  <si>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</si>
  <si>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</si>
  <si>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</si>
  <si>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</si>
  <si>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</si>
  <si>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123171VDIM</t>
  </si>
  <si>
    <t>Přechodné dopravní značení</t>
  </si>
  <si>
    <t>kpl</t>
  </si>
  <si>
    <t>12VD_</t>
  </si>
  <si>
    <t>N_1_</t>
  </si>
  <si>
    <t>N_</t>
  </si>
  <si>
    <t>2</t>
  </si>
  <si>
    <t>123118VDIM</t>
  </si>
  <si>
    <t>Geodetické práce</t>
  </si>
  <si>
    <t>3</t>
  </si>
  <si>
    <t>123188VDIM</t>
  </si>
  <si>
    <t>Vytýčení sítí</t>
  </si>
  <si>
    <t>4</t>
  </si>
  <si>
    <t>123140VDIM</t>
  </si>
  <si>
    <t>Čistění komunikací po dobu výstavby</t>
  </si>
  <si>
    <t>5</t>
  </si>
  <si>
    <t>123119VDIM</t>
  </si>
  <si>
    <t>Fotodokumentace</t>
  </si>
  <si>
    <t>6</t>
  </si>
  <si>
    <t>113151315R00IM</t>
  </si>
  <si>
    <t>Fréz.živič.krytu nad 500 m2, s překážkami, tl.6 cm</t>
  </si>
  <si>
    <t>m2</t>
  </si>
  <si>
    <t>11_</t>
  </si>
  <si>
    <t>Pod Vrbami</t>
  </si>
  <si>
    <t>4,8*10,0</t>
  </si>
  <si>
    <t>(5,5+14,0)/2*6,70</t>
  </si>
  <si>
    <t>Kavalcova</t>
  </si>
  <si>
    <t>(8,5+9,1+9,2+9,0)/4*90,5</t>
  </si>
  <si>
    <t>7</t>
  </si>
  <si>
    <t>113108305R00IM</t>
  </si>
  <si>
    <t>Odstranění asfaltové vrstvy pl.do 50 m2, tl. 5 cm</t>
  </si>
  <si>
    <t>pro štěrbinový žlab</t>
  </si>
  <si>
    <t>7,0*0,3</t>
  </si>
  <si>
    <t>8</t>
  </si>
  <si>
    <t>139601103R00IM</t>
  </si>
  <si>
    <t>Ruční výkop jam, rýh a šachet v hornině tř. 4</t>
  </si>
  <si>
    <t>m3</t>
  </si>
  <si>
    <t>13_</t>
  </si>
  <si>
    <t>rýha pro nové žlabovky</t>
  </si>
  <si>
    <t>7,0*0,3*0,3</t>
  </si>
  <si>
    <t>9</t>
  </si>
  <si>
    <t>162201102R00IM</t>
  </si>
  <si>
    <t>Vodorovné přemístění výkopku z hor.1-4 do 50 m</t>
  </si>
  <si>
    <t>16_</t>
  </si>
  <si>
    <t>10</t>
  </si>
  <si>
    <t>171201101R00IM</t>
  </si>
  <si>
    <t>Uložení sypaniny do násypů nezhutněných</t>
  </si>
  <si>
    <t>17_</t>
  </si>
  <si>
    <t>451538111R00IM</t>
  </si>
  <si>
    <t>Dno rýhy zpevněné štěrkem drceným tl. do 15 cm</t>
  </si>
  <si>
    <t>m</t>
  </si>
  <si>
    <t>45_</t>
  </si>
  <si>
    <t>N_4_</t>
  </si>
  <si>
    <t>pod štěrbinové žlaby</t>
  </si>
  <si>
    <t>12</t>
  </si>
  <si>
    <t>573231125R00IM</t>
  </si>
  <si>
    <t>Postřik spojovací z KAE, množství zbytkového asfaltu 0,5 kg/m2</t>
  </si>
  <si>
    <t>57_</t>
  </si>
  <si>
    <t>N_5_</t>
  </si>
  <si>
    <t>923,30*2</t>
  </si>
  <si>
    <t>572713112R00IM</t>
  </si>
  <si>
    <t>Vyrovnání povrchu krytů kamen. obaleným asfaltem</t>
  </si>
  <si>
    <t>t</t>
  </si>
  <si>
    <t>923,30*0,02*2,5</t>
  </si>
  <si>
    <t>14</t>
  </si>
  <si>
    <t>577131111R00IM</t>
  </si>
  <si>
    <t>Beton asfalt. ACO 11+ obrusný, š. do 3 m, tl. 4 cm</t>
  </si>
  <si>
    <t>15</t>
  </si>
  <si>
    <t>572751111R00IM</t>
  </si>
  <si>
    <t>Vyspravení výtluků krytů asf.betonem,1 km do 10 t</t>
  </si>
  <si>
    <t>599141111R00IM</t>
  </si>
  <si>
    <t>Vyplnění spár  živičnou zálivkou</t>
  </si>
  <si>
    <t>59_</t>
  </si>
  <si>
    <t>4,8+8,5+9,0+7,0</t>
  </si>
  <si>
    <t>597121211RT2IM</t>
  </si>
  <si>
    <t>Montáž odvod.mikroštěrbinových trub -trouba dl.1 m</t>
  </si>
  <si>
    <t>kus</t>
  </si>
  <si>
    <t>18</t>
  </si>
  <si>
    <t>899431111R00IM</t>
  </si>
  <si>
    <t>Výšková úprava do 20 cm, zvýšení krytu šoupěte</t>
  </si>
  <si>
    <t>89_</t>
  </si>
  <si>
    <t>N_8_</t>
  </si>
  <si>
    <t>19</t>
  </si>
  <si>
    <t>899331111R00IM</t>
  </si>
  <si>
    <t>Výšková úprava vstupu do 20 cm, zvýšení poklopu</t>
  </si>
  <si>
    <t>20</t>
  </si>
  <si>
    <t>899231111R00IM</t>
  </si>
  <si>
    <t>Výšková úprava vstupu do 20 cm, zvýšení mříže</t>
  </si>
  <si>
    <t>21</t>
  </si>
  <si>
    <t>919735112R00IM</t>
  </si>
  <si>
    <t>Řezání stávajícího živičného krytu tl. 5 - 10 cm</t>
  </si>
  <si>
    <t>91_</t>
  </si>
  <si>
    <t>N_9_</t>
  </si>
  <si>
    <t>7,0*2</t>
  </si>
  <si>
    <t>22</t>
  </si>
  <si>
    <t>998225111R00IM</t>
  </si>
  <si>
    <t>Přesun hmot, pozemní komunikace, kryt živičný</t>
  </si>
  <si>
    <t>H22_</t>
  </si>
  <si>
    <t>23</t>
  </si>
  <si>
    <t>979999995R00IM</t>
  </si>
  <si>
    <t>Výkup asfaltového recyklátu</t>
  </si>
  <si>
    <t>S_</t>
  </si>
  <si>
    <t>vč. ošetření podélné pracovní spáry</t>
  </si>
  <si>
    <t xml:space="preserve">vč. podkladního beton. Lože a dodávky trouby 220/260/1000 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</si>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</sst>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</xf>
    <xf numFmtId="0" fontId="0" fillId="0" borderId="0" xfId="0" applyProtection="1"/>
    <xf numFmtId="4" fontId="3" fillId="2" borderId="0" xfId="0" applyNumberFormat="1" applyFont="1" applyFill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2" fillId="0" borderId="18" xfId="0" applyFont="1" applyBorder="1" applyAlignment="1" applyProtection="1">
      <alignment vertical="center"/>
    </xf>
    <xf numFmtId="0" fontId="0" fillId="0" borderId="68" xfId="0" applyBorder="1" applyProtection="1"/>
    <xf numFmtId="0" fontId="3" fillId="2" borderId="0" xfId="0" applyFont="1" applyFill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0" fillId="0" borderId="6" xfId="0" applyBorder="1" applyProtection="1"/>
    <xf numFmtId="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9" xfId="0" applyBorder="1" applyProtection="1"/>
    <xf numFmtId="0" fontId="0" fillId="0" borderId="18" xfId="0" applyBorder="1" applyProtection="1"/>
    <xf numFmtId="0" fontId="3" fillId="0" borderId="62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left" vertical="center"/>
    </xf>
    <xf numFmtId="0" fontId="2" fillId="0" borderId="70" xfId="0" applyFont="1" applyBorder="1" applyAlignment="1" applyProtection="1">
      <alignment horizontal="left" vertical="center"/>
    </xf>
    <xf numFmtId="0" fontId="2" fillId="2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horizontal="righ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" fillId="0" borderId="37" xfId="0" applyFont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3" fillId="0" borderId="71" xfId="0" applyFont="1" applyBorder="1" applyAlignment="1" applyProtection="1">
      <alignment horizontal="left" vertical="center"/>
    </xf>
    <xf numFmtId="0" fontId="3" fillId="0" borderId="72" xfId="0" applyFont="1" applyBorder="1" applyAlignment="1" applyProtection="1">
      <alignment horizontal="left" vertical="center"/>
    </xf>
    <xf numFmtId="0" fontId="3" fillId="0" borderId="64" xfId="0" applyFont="1" applyBorder="1" applyAlignment="1" applyProtection="1">
      <alignment horizontal="left" vertical="center"/>
    </xf>
    <xf numFmtId="0" fontId="3" fillId="0" borderId="65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workbookViewId="0">
      <pane ySplit="11" topLeftCell="A12" activePane="bottomLeft" state="frozen"/>
      <selection pane="bottomLeft" activeCell="C10" sqref="C10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96" t="s">
        <v>0</v>
      </c>
      <c r="B1" s="96"/>
      <c r="C1" s="96"/>
      <c r="D1" s="96"/>
      <c r="E1" s="96"/>
      <c r="F1" s="96"/>
      <c r="G1" s="96"/>
    </row>
    <row r="2" spans="1:9" x14ac:dyDescent="0.25">
      <c r="A2" s="97" t="s">
        <v>1</v>
      </c>
      <c r="B2" s="94"/>
      <c r="C2" s="102" t="str">
        <f>'Stavební rozpočet'!D2</f>
        <v>24154 Bruntál, oprava MK Pod Vrbami a část ul. Kavalcova</v>
      </c>
      <c r="D2" s="94" t="s">
        <v>2</v>
      </c>
      <c r="E2" s="94" t="s">
        <v>3</v>
      </c>
      <c r="F2" s="101" t="s">
        <v>4</v>
      </c>
      <c r="G2" s="88" t="str">
        <f>'Stavební rozpočet'!J2</f>
        <v>Město Bruntál</v>
      </c>
    </row>
    <row r="3" spans="1:9" ht="15" customHeight="1" x14ac:dyDescent="0.25">
      <c r="A3" s="98"/>
      <c r="B3" s="87"/>
      <c r="C3" s="103"/>
      <c r="D3" s="87"/>
      <c r="E3" s="87"/>
      <c r="F3" s="87"/>
      <c r="G3" s="89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 t="s">
        <v>6</v>
      </c>
      <c r="E4" s="87"/>
      <c r="F4" s="92" t="s">
        <v>8</v>
      </c>
      <c r="G4" s="90" t="str">
        <f>'Stavební rozpočet'!J4</f>
        <v> </v>
      </c>
    </row>
    <row r="5" spans="1:9" ht="15" customHeight="1" x14ac:dyDescent="0.25">
      <c r="A5" s="98"/>
      <c r="B5" s="87"/>
      <c r="C5" s="87"/>
      <c r="D5" s="87"/>
      <c r="E5" s="87"/>
      <c r="F5" s="87"/>
      <c r="G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 t="s">
        <v>10</v>
      </c>
      <c r="E6" s="87" t="s">
        <v>3</v>
      </c>
      <c r="F6" s="92" t="s">
        <v>11</v>
      </c>
      <c r="G6" s="90" t="str">
        <f>'Stavební rozpočet'!J6</f>
        <v> </v>
      </c>
    </row>
    <row r="7" spans="1:9" ht="15" customHeight="1" x14ac:dyDescent="0.25">
      <c r="A7" s="98"/>
      <c r="B7" s="87"/>
      <c r="C7" s="87"/>
      <c r="D7" s="87"/>
      <c r="E7" s="87"/>
      <c r="F7" s="87"/>
      <c r="G7" s="89"/>
    </row>
    <row r="8" spans="1:9" x14ac:dyDescent="0.25">
      <c r="A8" s="99" t="s">
        <v>12</v>
      </c>
      <c r="B8" s="87"/>
      <c r="C8" s="92" t="s">
        <v>241</v>
      </c>
      <c r="D8" s="87" t="s">
        <v>13</v>
      </c>
      <c r="E8" s="87" t="s">
        <v>7</v>
      </c>
      <c r="F8" s="87" t="s">
        <v>13</v>
      </c>
      <c r="G8" s="90" t="str">
        <f>'Stavební rozpočet'!H8</f>
        <v>11.10.2024</v>
      </c>
    </row>
    <row r="9" spans="1:9" x14ac:dyDescent="0.25">
      <c r="A9" s="100"/>
      <c r="B9" s="93"/>
      <c r="C9" s="93"/>
      <c r="D9" s="95"/>
      <c r="E9" s="95"/>
      <c r="F9" s="95"/>
      <c r="G9" s="91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7" t="s">
        <v>20</v>
      </c>
      <c r="D11" s="87"/>
      <c r="E11" s="87"/>
      <c r="F11" s="87"/>
      <c r="G11" s="10">
        <f>ROUND('Stavební rozpočet'!I12,2)</f>
        <v>-12210.7</v>
      </c>
      <c r="H11" s="11" t="s">
        <v>21</v>
      </c>
      <c r="I11" s="12">
        <f t="shared" ref="I11:I23" si="0">IF(H11="F",0,G11)</f>
        <v>0</v>
      </c>
    </row>
    <row r="12" spans="1:9" x14ac:dyDescent="0.25">
      <c r="A12" s="1" t="s">
        <v>18</v>
      </c>
      <c r="B12" s="2" t="s">
        <v>22</v>
      </c>
      <c r="C12" s="87" t="s">
        <v>23</v>
      </c>
      <c r="D12" s="87"/>
      <c r="E12" s="87"/>
      <c r="F12" s="87"/>
      <c r="G12" s="12">
        <f>ROUND('Stavební rozpočet'!I13,2)</f>
        <v>0</v>
      </c>
      <c r="H12" s="11" t="s">
        <v>24</v>
      </c>
      <c r="I12" s="12">
        <f t="shared" si="0"/>
        <v>0</v>
      </c>
    </row>
    <row r="13" spans="1:9" x14ac:dyDescent="0.25">
      <c r="A13" s="1" t="s">
        <v>18</v>
      </c>
      <c r="B13" s="2" t="s">
        <v>25</v>
      </c>
      <c r="C13" s="87" t="s">
        <v>26</v>
      </c>
      <c r="D13" s="87"/>
      <c r="E13" s="87"/>
      <c r="F13" s="87"/>
      <c r="G13" s="12">
        <f>ROUND('Stavební rozpočet'!I24,2)</f>
        <v>0</v>
      </c>
      <c r="H13" s="11" t="s">
        <v>24</v>
      </c>
      <c r="I13" s="12">
        <f t="shared" si="0"/>
        <v>0</v>
      </c>
    </row>
    <row r="14" spans="1:9" x14ac:dyDescent="0.25">
      <c r="A14" s="1" t="s">
        <v>18</v>
      </c>
      <c r="B14" s="2" t="s">
        <v>27</v>
      </c>
      <c r="C14" s="87" t="s">
        <v>28</v>
      </c>
      <c r="D14" s="87"/>
      <c r="E14" s="87"/>
      <c r="F14" s="87"/>
      <c r="G14" s="12">
        <f>ROUND('Stavební rozpočet'!I40,2)</f>
        <v>0</v>
      </c>
      <c r="H14" s="11" t="s">
        <v>24</v>
      </c>
      <c r="I14" s="12">
        <f t="shared" si="0"/>
        <v>0</v>
      </c>
    </row>
    <row r="15" spans="1:9" x14ac:dyDescent="0.25">
      <c r="A15" s="1" t="s">
        <v>18</v>
      </c>
      <c r="B15" s="2" t="s">
        <v>29</v>
      </c>
      <c r="C15" s="87" t="s">
        <v>30</v>
      </c>
      <c r="D15" s="87"/>
      <c r="E15" s="87"/>
      <c r="F15" s="87"/>
      <c r="G15" s="12">
        <f>ROUND('Stavební rozpočet'!I46,2)</f>
        <v>0</v>
      </c>
      <c r="H15" s="11" t="s">
        <v>24</v>
      </c>
      <c r="I15" s="12">
        <f t="shared" si="0"/>
        <v>0</v>
      </c>
    </row>
    <row r="16" spans="1:9" x14ac:dyDescent="0.25">
      <c r="A16" s="1" t="s">
        <v>18</v>
      </c>
      <c r="B16" s="2" t="s">
        <v>31</v>
      </c>
      <c r="C16" s="87" t="s">
        <v>32</v>
      </c>
      <c r="D16" s="87"/>
      <c r="E16" s="87"/>
      <c r="F16" s="87"/>
      <c r="G16" s="12">
        <f>ROUND('Stavební rozpočet'!I49,2)</f>
        <v>0</v>
      </c>
      <c r="H16" s="11" t="s">
        <v>24</v>
      </c>
      <c r="I16" s="12">
        <f t="shared" si="0"/>
        <v>0</v>
      </c>
    </row>
    <row r="17" spans="1:9" x14ac:dyDescent="0.25">
      <c r="A17" s="1" t="s">
        <v>18</v>
      </c>
      <c r="B17" s="2" t="s">
        <v>33</v>
      </c>
      <c r="C17" s="87" t="s">
        <v>34</v>
      </c>
      <c r="D17" s="87"/>
      <c r="E17" s="87"/>
      <c r="F17" s="87"/>
      <c r="G17" s="12">
        <f>ROUND('Stavební rozpočet'!I52,2)</f>
        <v>0</v>
      </c>
      <c r="H17" s="11" t="s">
        <v>24</v>
      </c>
      <c r="I17" s="12">
        <f t="shared" si="0"/>
        <v>0</v>
      </c>
    </row>
    <row r="18" spans="1:9" x14ac:dyDescent="0.25">
      <c r="A18" s="1" t="s">
        <v>18</v>
      </c>
      <c r="B18" s="2" t="s">
        <v>35</v>
      </c>
      <c r="C18" s="87" t="s">
        <v>36</v>
      </c>
      <c r="D18" s="87"/>
      <c r="E18" s="87"/>
      <c r="F18" s="87"/>
      <c r="G18" s="12">
        <f>ROUND('Stavební rozpočet'!I58,2)</f>
        <v>0</v>
      </c>
      <c r="H18" s="11" t="s">
        <v>24</v>
      </c>
      <c r="I18" s="12">
        <f t="shared" si="0"/>
        <v>0</v>
      </c>
    </row>
    <row r="19" spans="1:9" x14ac:dyDescent="0.25">
      <c r="A19" s="1" t="s">
        <v>18</v>
      </c>
      <c r="B19" s="2" t="s">
        <v>37</v>
      </c>
      <c r="C19" s="87" t="s">
        <v>38</v>
      </c>
      <c r="D19" s="87"/>
      <c r="E19" s="87"/>
      <c r="F19" s="87"/>
      <c r="G19" s="12">
        <f>ROUND('Stavební rozpočet'!I71,2)</f>
        <v>0</v>
      </c>
      <c r="H19" s="11" t="s">
        <v>24</v>
      </c>
      <c r="I19" s="12">
        <f t="shared" si="0"/>
        <v>0</v>
      </c>
    </row>
    <row r="20" spans="1:9" x14ac:dyDescent="0.25">
      <c r="A20" s="1" t="s">
        <v>18</v>
      </c>
      <c r="B20" s="2" t="s">
        <v>39</v>
      </c>
      <c r="C20" s="87" t="s">
        <v>40</v>
      </c>
      <c r="D20" s="87"/>
      <c r="E20" s="87"/>
      <c r="F20" s="87"/>
      <c r="G20" s="12">
        <f>ROUND('Stavební rozpočet'!I79,2)</f>
        <v>0</v>
      </c>
      <c r="H20" s="11" t="s">
        <v>24</v>
      </c>
      <c r="I20" s="12">
        <f t="shared" si="0"/>
        <v>0</v>
      </c>
    </row>
    <row r="21" spans="1:9" x14ac:dyDescent="0.25">
      <c r="A21" s="1" t="s">
        <v>18</v>
      </c>
      <c r="B21" s="2" t="s">
        <v>41</v>
      </c>
      <c r="C21" s="87" t="s">
        <v>42</v>
      </c>
      <c r="D21" s="87"/>
      <c r="E21" s="87"/>
      <c r="F21" s="87"/>
      <c r="G21" s="12">
        <f>ROUND('Stavební rozpočet'!I86,2)</f>
        <v>0</v>
      </c>
      <c r="H21" s="11" t="s">
        <v>24</v>
      </c>
      <c r="I21" s="12">
        <f t="shared" si="0"/>
        <v>0</v>
      </c>
    </row>
    <row r="22" spans="1:9" x14ac:dyDescent="0.25">
      <c r="A22" s="1" t="s">
        <v>18</v>
      </c>
      <c r="B22" s="2" t="s">
        <v>43</v>
      </c>
      <c r="C22" s="87" t="s">
        <v>44</v>
      </c>
      <c r="D22" s="87"/>
      <c r="E22" s="87"/>
      <c r="F22" s="87"/>
      <c r="G22" s="12">
        <f>ROUND('Stavební rozpočet'!I93,2)</f>
        <v>0</v>
      </c>
      <c r="H22" s="11" t="s">
        <v>24</v>
      </c>
      <c r="I22" s="12">
        <f t="shared" si="0"/>
        <v>0</v>
      </c>
    </row>
    <row r="23" spans="1:9" x14ac:dyDescent="0.25">
      <c r="A23" s="1" t="s">
        <v>18</v>
      </c>
      <c r="B23" s="2" t="s">
        <v>45</v>
      </c>
      <c r="C23" s="87" t="s">
        <v>46</v>
      </c>
      <c r="D23" s="87"/>
      <c r="E23" s="87"/>
      <c r="F23" s="87"/>
      <c r="G23" s="12">
        <f>ROUND('Stavební rozpočet'!I96,2)</f>
        <v>-12210.7</v>
      </c>
      <c r="H23" s="11" t="s">
        <v>24</v>
      </c>
      <c r="I23" s="12">
        <f t="shared" si="0"/>
        <v>-12210.7</v>
      </c>
    </row>
    <row r="24" spans="1:9" x14ac:dyDescent="0.25">
      <c r="F24" s="3" t="s">
        <v>47</v>
      </c>
      <c r="G24" s="13">
        <f>ROUND(SUM(I11:I23),2)</f>
        <v>-12210.7</v>
      </c>
    </row>
  </sheetData>
  <mergeCells count="38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23:F23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9" t="s">
        <v>48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94"/>
      <c r="C2" s="102" t="str">
        <f>'Stavební rozpočet'!D2</f>
        <v>24154 Bruntál, oprava MK Pod Vrbami a část ul. Kavalcova</v>
      </c>
      <c r="D2" s="143"/>
      <c r="E2" s="101" t="s">
        <v>4</v>
      </c>
      <c r="F2" s="101" t="str">
        <f>'Stavební rozpočet'!J2</f>
        <v>Město Bruntál</v>
      </c>
      <c r="G2" s="94"/>
      <c r="H2" s="101" t="s">
        <v>49</v>
      </c>
      <c r="I2" s="140" t="s">
        <v>240</v>
      </c>
    </row>
    <row r="3" spans="1:9" ht="15" customHeight="1" x14ac:dyDescent="0.25">
      <c r="A3" s="98"/>
      <c r="B3" s="87"/>
      <c r="C3" s="103"/>
      <c r="D3" s="103"/>
      <c r="E3" s="87"/>
      <c r="F3" s="87"/>
      <c r="G3" s="87"/>
      <c r="H3" s="87"/>
      <c r="I3" s="141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/>
      <c r="E4" s="92" t="s">
        <v>8</v>
      </c>
      <c r="F4" s="92" t="str">
        <f>'Stavební rozpočet'!J4</f>
        <v> </v>
      </c>
      <c r="G4" s="87"/>
      <c r="H4" s="92" t="s">
        <v>49</v>
      </c>
      <c r="I4" s="89" t="s">
        <v>19</v>
      </c>
    </row>
    <row r="5" spans="1:9" ht="15" customHeight="1" x14ac:dyDescent="0.25">
      <c r="A5" s="98"/>
      <c r="B5" s="87"/>
      <c r="C5" s="87"/>
      <c r="D5" s="87"/>
      <c r="E5" s="87"/>
      <c r="F5" s="87"/>
      <c r="G5" s="87"/>
      <c r="H5" s="87"/>
      <c r="I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/>
      <c r="E6" s="92" t="s">
        <v>11</v>
      </c>
      <c r="F6" s="92" t="str">
        <f>'Stavební rozpočet'!J6</f>
        <v> </v>
      </c>
      <c r="G6" s="87"/>
      <c r="H6" s="92" t="s">
        <v>49</v>
      </c>
      <c r="I6" s="89" t="s">
        <v>19</v>
      </c>
    </row>
    <row r="7" spans="1:9" ht="15" customHeight="1" x14ac:dyDescent="0.25">
      <c r="A7" s="98"/>
      <c r="B7" s="87"/>
      <c r="C7" s="87"/>
      <c r="D7" s="87"/>
      <c r="E7" s="87"/>
      <c r="F7" s="87"/>
      <c r="G7" s="87"/>
      <c r="H7" s="87"/>
      <c r="I7" s="89"/>
    </row>
    <row r="8" spans="1:9" x14ac:dyDescent="0.25">
      <c r="A8" s="99" t="s">
        <v>6</v>
      </c>
      <c r="B8" s="87"/>
      <c r="C8" s="92"/>
      <c r="D8" s="87"/>
      <c r="E8" s="92" t="s">
        <v>10</v>
      </c>
      <c r="F8" s="92" t="str">
        <f>'Stavební rozpočet'!H6</f>
        <v xml:space="preserve"> </v>
      </c>
      <c r="G8" s="87"/>
      <c r="H8" s="87" t="s">
        <v>50</v>
      </c>
      <c r="I8" s="142">
        <v>23</v>
      </c>
    </row>
    <row r="9" spans="1:9" x14ac:dyDescent="0.25">
      <c r="A9" s="98"/>
      <c r="B9" s="87"/>
      <c r="C9" s="87"/>
      <c r="D9" s="87"/>
      <c r="E9" s="87"/>
      <c r="F9" s="87"/>
      <c r="G9" s="87"/>
      <c r="H9" s="87"/>
      <c r="I9" s="89"/>
    </row>
    <row r="10" spans="1:9" x14ac:dyDescent="0.25">
      <c r="A10" s="99" t="s">
        <v>51</v>
      </c>
      <c r="B10" s="87"/>
      <c r="C10" s="92" t="str">
        <f>'Stavební rozpočet'!D8</f>
        <v xml:space="preserve"> </v>
      </c>
      <c r="D10" s="87"/>
      <c r="E10" s="92" t="s">
        <v>12</v>
      </c>
      <c r="F10" s="92" t="s">
        <v>241</v>
      </c>
      <c r="G10" s="87"/>
      <c r="H10" s="87" t="s">
        <v>52</v>
      </c>
      <c r="I10" s="90" t="str">
        <f>'Stavební rozpočet'!H8</f>
        <v>11.10.2024</v>
      </c>
    </row>
    <row r="11" spans="1:9" x14ac:dyDescent="0.25">
      <c r="A11" s="138"/>
      <c r="B11" s="95"/>
      <c r="C11" s="95"/>
      <c r="D11" s="95"/>
      <c r="E11" s="95"/>
      <c r="F11" s="95"/>
      <c r="G11" s="95"/>
      <c r="H11" s="95"/>
      <c r="I11" s="134"/>
    </row>
    <row r="12" spans="1:9" ht="23.25" x14ac:dyDescent="0.25">
      <c r="A12" s="135" t="s">
        <v>53</v>
      </c>
      <c r="B12" s="135"/>
      <c r="C12" s="135"/>
      <c r="D12" s="135"/>
      <c r="E12" s="135"/>
      <c r="F12" s="135"/>
      <c r="G12" s="135"/>
      <c r="H12" s="135"/>
      <c r="I12" s="135"/>
    </row>
    <row r="13" spans="1:9" ht="26.25" customHeight="1" x14ac:dyDescent="0.25">
      <c r="A13" s="14" t="s">
        <v>54</v>
      </c>
      <c r="B13" s="136" t="s">
        <v>55</v>
      </c>
      <c r="C13" s="137"/>
      <c r="D13" s="15" t="s">
        <v>56</v>
      </c>
      <c r="E13" s="136" t="s">
        <v>57</v>
      </c>
      <c r="F13" s="137"/>
      <c r="G13" s="15" t="s">
        <v>58</v>
      </c>
      <c r="H13" s="136" t="s">
        <v>59</v>
      </c>
      <c r="I13" s="137"/>
    </row>
    <row r="14" spans="1:9" ht="15.75" x14ac:dyDescent="0.25">
      <c r="A14" s="16" t="s">
        <v>60</v>
      </c>
      <c r="B14" s="17" t="s">
        <v>61</v>
      </c>
      <c r="C14" s="18">
        <f>SUM('Stavební rozpočet'!AB12:AB97)</f>
        <v>0</v>
      </c>
      <c r="D14" s="124" t="s">
        <v>62</v>
      </c>
      <c r="E14" s="125"/>
      <c r="F14" s="18">
        <f>VORN!I15</f>
        <v>0</v>
      </c>
      <c r="G14" s="124" t="s">
        <v>63</v>
      </c>
      <c r="H14" s="125"/>
      <c r="I14" s="19">
        <f>VORN!I21</f>
        <v>0</v>
      </c>
    </row>
    <row r="15" spans="1:9" ht="15.75" x14ac:dyDescent="0.25">
      <c r="A15" s="20" t="s">
        <v>19</v>
      </c>
      <c r="B15" s="17" t="s">
        <v>64</v>
      </c>
      <c r="C15" s="18">
        <f>SUM('Stavební rozpočet'!AC12:AC97)</f>
        <v>0</v>
      </c>
      <c r="D15" s="124" t="s">
        <v>65</v>
      </c>
      <c r="E15" s="125"/>
      <c r="F15" s="18">
        <f>VORN!I16</f>
        <v>0</v>
      </c>
      <c r="G15" s="124" t="s">
        <v>66</v>
      </c>
      <c r="H15" s="125"/>
      <c r="I15" s="19">
        <f>VORN!I22</f>
        <v>0</v>
      </c>
    </row>
    <row r="16" spans="1:9" ht="15.75" x14ac:dyDescent="0.25">
      <c r="A16" s="16" t="s">
        <v>67</v>
      </c>
      <c r="B16" s="17" t="s">
        <v>61</v>
      </c>
      <c r="C16" s="18">
        <f>SUM('Stavební rozpočet'!AD12:AD97)</f>
        <v>0</v>
      </c>
      <c r="D16" s="124" t="s">
        <v>68</v>
      </c>
      <c r="E16" s="125"/>
      <c r="F16" s="18">
        <f>VORN!I17</f>
        <v>0</v>
      </c>
      <c r="G16" s="124" t="s">
        <v>69</v>
      </c>
      <c r="H16" s="125"/>
      <c r="I16" s="19">
        <f>VORN!I23</f>
        <v>0</v>
      </c>
    </row>
    <row r="17" spans="1:9" ht="15.75" x14ac:dyDescent="0.25">
      <c r="A17" s="20" t="s">
        <v>19</v>
      </c>
      <c r="B17" s="17" t="s">
        <v>64</v>
      </c>
      <c r="C17" s="18">
        <f>SUM('Stavební rozpočet'!AE12:AE97)</f>
        <v>0</v>
      </c>
      <c r="D17" s="124" t="s">
        <v>19</v>
      </c>
      <c r="E17" s="125"/>
      <c r="F17" s="19" t="s">
        <v>19</v>
      </c>
      <c r="G17" s="124" t="s">
        <v>70</v>
      </c>
      <c r="H17" s="125"/>
      <c r="I17" s="19">
        <f>VORN!I24</f>
        <v>0</v>
      </c>
    </row>
    <row r="18" spans="1:9" ht="15.75" x14ac:dyDescent="0.25">
      <c r="A18" s="16" t="s">
        <v>71</v>
      </c>
      <c r="B18" s="17" t="s">
        <v>61</v>
      </c>
      <c r="C18" s="18">
        <f>SUM('Stavební rozpočet'!AF12:AF97)</f>
        <v>0</v>
      </c>
      <c r="D18" s="124" t="s">
        <v>19</v>
      </c>
      <c r="E18" s="125"/>
      <c r="F18" s="19" t="s">
        <v>19</v>
      </c>
      <c r="G18" s="124" t="s">
        <v>72</v>
      </c>
      <c r="H18" s="125"/>
      <c r="I18" s="19">
        <f>VORN!I25</f>
        <v>0</v>
      </c>
    </row>
    <row r="19" spans="1:9" ht="15.75" x14ac:dyDescent="0.25">
      <c r="A19" s="20" t="s">
        <v>19</v>
      </c>
      <c r="B19" s="17" t="s">
        <v>64</v>
      </c>
      <c r="C19" s="18">
        <f>SUM('Stavební rozpočet'!AG12:AG97)</f>
        <v>0</v>
      </c>
      <c r="D19" s="124" t="s">
        <v>19</v>
      </c>
      <c r="E19" s="125"/>
      <c r="F19" s="19" t="s">
        <v>19</v>
      </c>
      <c r="G19" s="124" t="s">
        <v>73</v>
      </c>
      <c r="H19" s="125"/>
      <c r="I19" s="19">
        <f>VORN!I26</f>
        <v>0</v>
      </c>
    </row>
    <row r="20" spans="1:9" ht="15.75" x14ac:dyDescent="0.25">
      <c r="A20" s="116" t="s">
        <v>74</v>
      </c>
      <c r="B20" s="117"/>
      <c r="C20" s="18">
        <f>SUM('Stavební rozpočet'!AH12:AH97)</f>
        <v>0</v>
      </c>
      <c r="D20" s="124" t="s">
        <v>19</v>
      </c>
      <c r="E20" s="125"/>
      <c r="F20" s="19" t="s">
        <v>19</v>
      </c>
      <c r="G20" s="124" t="s">
        <v>19</v>
      </c>
      <c r="H20" s="125"/>
      <c r="I20" s="19" t="s">
        <v>19</v>
      </c>
    </row>
    <row r="21" spans="1:9" ht="15.75" x14ac:dyDescent="0.25">
      <c r="A21" s="131" t="s">
        <v>75</v>
      </c>
      <c r="B21" s="132"/>
      <c r="C21" s="21">
        <f>SUM('Stavební rozpočet'!Z12:Z97)</f>
        <v>-12210.7</v>
      </c>
      <c r="D21" s="126" t="s">
        <v>19</v>
      </c>
      <c r="E21" s="127"/>
      <c r="F21" s="22" t="s">
        <v>19</v>
      </c>
      <c r="G21" s="126" t="s">
        <v>19</v>
      </c>
      <c r="H21" s="127"/>
      <c r="I21" s="22" t="s">
        <v>19</v>
      </c>
    </row>
    <row r="22" spans="1:9" ht="16.5" customHeight="1" x14ac:dyDescent="0.25">
      <c r="A22" s="133" t="s">
        <v>76</v>
      </c>
      <c r="B22" s="129"/>
      <c r="C22" s="23">
        <f>ROUND(SUM(C14:C21),2)</f>
        <v>-12210.7</v>
      </c>
      <c r="D22" s="128" t="s">
        <v>77</v>
      </c>
      <c r="E22" s="129"/>
      <c r="F22" s="23">
        <f>SUM(F14:F21)</f>
        <v>0</v>
      </c>
      <c r="G22" s="128" t="s">
        <v>78</v>
      </c>
      <c r="H22" s="129"/>
      <c r="I22" s="23">
        <f>SUM(I14:I21)</f>
        <v>0</v>
      </c>
    </row>
    <row r="23" spans="1:9" ht="15.75" x14ac:dyDescent="0.25">
      <c r="D23" s="116" t="s">
        <v>79</v>
      </c>
      <c r="E23" s="117"/>
      <c r="F23" s="24">
        <v>0</v>
      </c>
      <c r="G23" s="130" t="s">
        <v>80</v>
      </c>
      <c r="H23" s="117"/>
      <c r="I23" s="18">
        <v>0</v>
      </c>
    </row>
    <row r="24" spans="1:9" ht="15.75" x14ac:dyDescent="0.25">
      <c r="G24" s="116" t="s">
        <v>81</v>
      </c>
      <c r="H24" s="117"/>
      <c r="I24" s="21">
        <f>vorn_sum</f>
        <v>0</v>
      </c>
    </row>
    <row r="25" spans="1:9" ht="15.75" x14ac:dyDescent="0.25">
      <c r="G25" s="116" t="s">
        <v>82</v>
      </c>
      <c r="H25" s="117"/>
      <c r="I25" s="23">
        <v>0</v>
      </c>
    </row>
    <row r="27" spans="1:9" ht="15.75" x14ac:dyDescent="0.25">
      <c r="A27" s="118" t="s">
        <v>83</v>
      </c>
      <c r="B27" s="119"/>
      <c r="C27" s="25">
        <f>ROUND(SUM('Stavební rozpočet'!AJ12:AJ97),2)</f>
        <v>0</v>
      </c>
    </row>
    <row r="28" spans="1:9" ht="15.75" x14ac:dyDescent="0.25">
      <c r="A28" s="120" t="s">
        <v>84</v>
      </c>
      <c r="B28" s="121"/>
      <c r="C28" s="26">
        <f>ROUND(SUM('Stavební rozpočet'!AK12:AK97),2)</f>
        <v>0</v>
      </c>
      <c r="D28" s="122" t="s">
        <v>85</v>
      </c>
      <c r="E28" s="119"/>
      <c r="F28" s="25">
        <f>ROUND(C28*(12/100),2)</f>
        <v>0</v>
      </c>
      <c r="G28" s="122" t="s">
        <v>86</v>
      </c>
      <c r="H28" s="119"/>
      <c r="I28" s="25">
        <f>ROUND(SUM(C27:C29),2)</f>
        <v>-12210.7</v>
      </c>
    </row>
    <row r="29" spans="1:9" ht="15.75" x14ac:dyDescent="0.25">
      <c r="A29" s="120" t="s">
        <v>87</v>
      </c>
      <c r="B29" s="121"/>
      <c r="C29" s="26">
        <f>ROUND(SUM('Stavební rozpočet'!AL12:AL97)+(F22+I22+F23+I23+I24+I25),2)</f>
        <v>-12210.7</v>
      </c>
      <c r="D29" s="123" t="s">
        <v>88</v>
      </c>
      <c r="E29" s="121"/>
      <c r="F29" s="26">
        <f>ROUND(C29*(21/100),2)</f>
        <v>-2564.25</v>
      </c>
      <c r="G29" s="123" t="s">
        <v>89</v>
      </c>
      <c r="H29" s="121"/>
      <c r="I29" s="26">
        <f>ROUND(SUM(F28:F29)+I28,2)</f>
        <v>-14774.95</v>
      </c>
    </row>
    <row r="31" spans="1:9" x14ac:dyDescent="0.25">
      <c r="A31" s="113" t="s">
        <v>90</v>
      </c>
      <c r="B31" s="105"/>
      <c r="C31" s="106"/>
      <c r="D31" s="104" t="s">
        <v>91</v>
      </c>
      <c r="E31" s="105"/>
      <c r="F31" s="106"/>
      <c r="G31" s="104" t="s">
        <v>92</v>
      </c>
      <c r="H31" s="105"/>
      <c r="I31" s="106"/>
    </row>
    <row r="32" spans="1:9" x14ac:dyDescent="0.25">
      <c r="A32" s="114" t="s">
        <v>19</v>
      </c>
      <c r="B32" s="108"/>
      <c r="C32" s="109"/>
      <c r="D32" s="107" t="s">
        <v>19</v>
      </c>
      <c r="E32" s="108"/>
      <c r="F32" s="109"/>
      <c r="G32" s="107" t="s">
        <v>19</v>
      </c>
      <c r="H32" s="108"/>
      <c r="I32" s="109"/>
    </row>
    <row r="33" spans="1:9" x14ac:dyDescent="0.25">
      <c r="A33" s="114" t="s">
        <v>19</v>
      </c>
      <c r="B33" s="108"/>
      <c r="C33" s="109"/>
      <c r="D33" s="107" t="s">
        <v>19</v>
      </c>
      <c r="E33" s="108"/>
      <c r="F33" s="109"/>
      <c r="G33" s="107" t="s">
        <v>19</v>
      </c>
      <c r="H33" s="108"/>
      <c r="I33" s="109"/>
    </row>
    <row r="34" spans="1:9" x14ac:dyDescent="0.25">
      <c r="A34" s="114" t="s">
        <v>19</v>
      </c>
      <c r="B34" s="108"/>
      <c r="C34" s="109"/>
      <c r="D34" s="107" t="s">
        <v>19</v>
      </c>
      <c r="E34" s="108"/>
      <c r="F34" s="109"/>
      <c r="G34" s="107" t="s">
        <v>19</v>
      </c>
      <c r="H34" s="108"/>
      <c r="I34" s="109"/>
    </row>
    <row r="35" spans="1:9" x14ac:dyDescent="0.25">
      <c r="A35" s="115" t="s">
        <v>93</v>
      </c>
      <c r="B35" s="111"/>
      <c r="C35" s="112"/>
      <c r="D35" s="110" t="s">
        <v>93</v>
      </c>
      <c r="E35" s="111"/>
      <c r="F35" s="112"/>
      <c r="G35" s="110" t="s">
        <v>93</v>
      </c>
      <c r="H35" s="111"/>
      <c r="I35" s="112"/>
    </row>
    <row r="36" spans="1:9" x14ac:dyDescent="0.25">
      <c r="A36" s="27" t="s">
        <v>94</v>
      </c>
    </row>
    <row r="37" spans="1:9" ht="12.75" customHeight="1" x14ac:dyDescent="0.25">
      <c r="A37" s="92" t="s">
        <v>19</v>
      </c>
      <c r="B37" s="87"/>
      <c r="C37" s="87"/>
      <c r="D37" s="87"/>
      <c r="E37" s="87"/>
      <c r="F37" s="87"/>
      <c r="G37" s="87"/>
      <c r="H37" s="87"/>
      <c r="I37" s="87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9" t="s">
        <v>95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94"/>
      <c r="C2" s="102" t="str">
        <f>'Stavební rozpočet'!D2</f>
        <v>24154 Bruntál, oprava MK Pod Vrbami a část ul. Kavalcova</v>
      </c>
      <c r="D2" s="143"/>
      <c r="E2" s="101" t="s">
        <v>4</v>
      </c>
      <c r="F2" s="101" t="str">
        <f>'Stavební rozpočet'!J2</f>
        <v>Město Bruntál</v>
      </c>
      <c r="G2" s="94"/>
      <c r="H2" s="101" t="s">
        <v>49</v>
      </c>
      <c r="I2" s="163" t="s">
        <v>19</v>
      </c>
    </row>
    <row r="3" spans="1:9" ht="15" customHeight="1" x14ac:dyDescent="0.25">
      <c r="A3" s="98"/>
      <c r="B3" s="87"/>
      <c r="C3" s="103"/>
      <c r="D3" s="103"/>
      <c r="E3" s="87"/>
      <c r="F3" s="87"/>
      <c r="G3" s="87"/>
      <c r="H3" s="87"/>
      <c r="I3" s="89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/>
      <c r="E4" s="92" t="s">
        <v>8</v>
      </c>
      <c r="F4" s="92" t="str">
        <f>'Stavební rozpočet'!J4</f>
        <v> </v>
      </c>
      <c r="G4" s="87"/>
      <c r="H4" s="92" t="s">
        <v>49</v>
      </c>
      <c r="I4" s="89" t="s">
        <v>19</v>
      </c>
    </row>
    <row r="5" spans="1:9" ht="15" customHeight="1" x14ac:dyDescent="0.25">
      <c r="A5" s="98"/>
      <c r="B5" s="87"/>
      <c r="C5" s="87"/>
      <c r="D5" s="87"/>
      <c r="E5" s="87"/>
      <c r="F5" s="87"/>
      <c r="G5" s="87"/>
      <c r="H5" s="87"/>
      <c r="I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/>
      <c r="E6" s="92" t="s">
        <v>11</v>
      </c>
      <c r="F6" s="92" t="str">
        <f>'Stavební rozpočet'!J6</f>
        <v> </v>
      </c>
      <c r="G6" s="87"/>
      <c r="H6" s="92" t="s">
        <v>49</v>
      </c>
      <c r="I6" s="89" t="s">
        <v>19</v>
      </c>
    </row>
    <row r="7" spans="1:9" ht="15" customHeight="1" x14ac:dyDescent="0.25">
      <c r="A7" s="98"/>
      <c r="B7" s="87"/>
      <c r="C7" s="87"/>
      <c r="D7" s="87"/>
      <c r="E7" s="87"/>
      <c r="F7" s="87"/>
      <c r="G7" s="87"/>
      <c r="H7" s="87"/>
      <c r="I7" s="89"/>
    </row>
    <row r="8" spans="1:9" x14ac:dyDescent="0.25">
      <c r="A8" s="99" t="s">
        <v>6</v>
      </c>
      <c r="B8" s="87"/>
      <c r="C8" s="92">
        <f>'Stavební rozpočet'!H4</f>
        <v>0</v>
      </c>
      <c r="D8" s="87"/>
      <c r="E8" s="92" t="s">
        <v>10</v>
      </c>
      <c r="F8" s="92" t="str">
        <f>'Stavební rozpočet'!H6</f>
        <v xml:space="preserve"> </v>
      </c>
      <c r="G8" s="87"/>
      <c r="H8" s="87" t="s">
        <v>50</v>
      </c>
      <c r="I8" s="142">
        <v>23</v>
      </c>
    </row>
    <row r="9" spans="1:9" x14ac:dyDescent="0.25">
      <c r="A9" s="98"/>
      <c r="B9" s="87"/>
      <c r="C9" s="87"/>
      <c r="D9" s="87"/>
      <c r="E9" s="87"/>
      <c r="F9" s="87"/>
      <c r="G9" s="87"/>
      <c r="H9" s="87"/>
      <c r="I9" s="89"/>
    </row>
    <row r="10" spans="1:9" x14ac:dyDescent="0.25">
      <c r="A10" s="99" t="s">
        <v>51</v>
      </c>
      <c r="B10" s="87"/>
      <c r="C10" s="92" t="str">
        <f>'Stavební rozpočet'!D8</f>
        <v xml:space="preserve"> </v>
      </c>
      <c r="D10" s="87"/>
      <c r="E10" s="92" t="s">
        <v>12</v>
      </c>
      <c r="F10" s="92" t="str">
        <f>'Stavební rozpočet'!J8</f>
        <v>M. Petrů</v>
      </c>
      <c r="G10" s="87"/>
      <c r="H10" s="87" t="s">
        <v>52</v>
      </c>
      <c r="I10" s="90" t="str">
        <f>'Stavební rozpočet'!H8</f>
        <v>11.10.2024</v>
      </c>
    </row>
    <row r="11" spans="1:9" x14ac:dyDescent="0.25">
      <c r="A11" s="138"/>
      <c r="B11" s="95"/>
      <c r="C11" s="95"/>
      <c r="D11" s="95"/>
      <c r="E11" s="95"/>
      <c r="F11" s="95"/>
      <c r="G11" s="95"/>
      <c r="H11" s="95"/>
      <c r="I11" s="134"/>
    </row>
    <row r="13" spans="1:9" ht="15.75" x14ac:dyDescent="0.25">
      <c r="A13" s="153" t="s">
        <v>96</v>
      </c>
      <c r="B13" s="153"/>
      <c r="C13" s="153"/>
      <c r="D13" s="153"/>
      <c r="E13" s="153"/>
    </row>
    <row r="14" spans="1:9" x14ac:dyDescent="0.25">
      <c r="A14" s="154" t="s">
        <v>97</v>
      </c>
      <c r="B14" s="155"/>
      <c r="C14" s="155"/>
      <c r="D14" s="155"/>
      <c r="E14" s="156"/>
      <c r="F14" s="28" t="s">
        <v>98</v>
      </c>
      <c r="G14" s="28" t="s">
        <v>99</v>
      </c>
      <c r="H14" s="28" t="s">
        <v>100</v>
      </c>
      <c r="I14" s="28" t="s">
        <v>98</v>
      </c>
    </row>
    <row r="15" spans="1:9" x14ac:dyDescent="0.25">
      <c r="A15" s="160" t="s">
        <v>62</v>
      </c>
      <c r="B15" s="161"/>
      <c r="C15" s="161"/>
      <c r="D15" s="161"/>
      <c r="E15" s="162"/>
      <c r="F15" s="29">
        <v>0</v>
      </c>
      <c r="G15" s="30" t="s">
        <v>19</v>
      </c>
      <c r="H15" s="30" t="s">
        <v>19</v>
      </c>
      <c r="I15" s="29">
        <f>F15</f>
        <v>0</v>
      </c>
    </row>
    <row r="16" spans="1:9" x14ac:dyDescent="0.25">
      <c r="A16" s="160" t="s">
        <v>65</v>
      </c>
      <c r="B16" s="161"/>
      <c r="C16" s="161"/>
      <c r="D16" s="161"/>
      <c r="E16" s="162"/>
      <c r="F16" s="29">
        <v>0</v>
      </c>
      <c r="G16" s="30" t="s">
        <v>19</v>
      </c>
      <c r="H16" s="30" t="s">
        <v>19</v>
      </c>
      <c r="I16" s="29">
        <f>F16</f>
        <v>0</v>
      </c>
    </row>
    <row r="17" spans="1:9" x14ac:dyDescent="0.25">
      <c r="A17" s="157" t="s">
        <v>68</v>
      </c>
      <c r="B17" s="158"/>
      <c r="C17" s="158"/>
      <c r="D17" s="158"/>
      <c r="E17" s="159"/>
      <c r="F17" s="31">
        <v>0</v>
      </c>
      <c r="G17" s="32" t="s">
        <v>19</v>
      </c>
      <c r="H17" s="32" t="s">
        <v>19</v>
      </c>
      <c r="I17" s="31">
        <f>F17</f>
        <v>0</v>
      </c>
    </row>
    <row r="18" spans="1:9" x14ac:dyDescent="0.25">
      <c r="A18" s="144" t="s">
        <v>101</v>
      </c>
      <c r="B18" s="145"/>
      <c r="C18" s="145"/>
      <c r="D18" s="145"/>
      <c r="E18" s="146"/>
      <c r="F18" s="33" t="s">
        <v>19</v>
      </c>
      <c r="G18" s="34" t="s">
        <v>19</v>
      </c>
      <c r="H18" s="34" t="s">
        <v>19</v>
      </c>
      <c r="I18" s="35">
        <f>SUM(I15:I17)</f>
        <v>0</v>
      </c>
    </row>
    <row r="20" spans="1:9" x14ac:dyDescent="0.25">
      <c r="A20" s="154" t="s">
        <v>59</v>
      </c>
      <c r="B20" s="155"/>
      <c r="C20" s="155"/>
      <c r="D20" s="155"/>
      <c r="E20" s="156"/>
      <c r="F20" s="28" t="s">
        <v>98</v>
      </c>
      <c r="G20" s="28" t="s">
        <v>99</v>
      </c>
      <c r="H20" s="28" t="s">
        <v>100</v>
      </c>
      <c r="I20" s="28" t="s">
        <v>98</v>
      </c>
    </row>
    <row r="21" spans="1:9" x14ac:dyDescent="0.25">
      <c r="A21" s="160" t="s">
        <v>63</v>
      </c>
      <c r="B21" s="161"/>
      <c r="C21" s="161"/>
      <c r="D21" s="161"/>
      <c r="E21" s="162"/>
      <c r="F21" s="29">
        <v>0</v>
      </c>
      <c r="G21" s="30" t="s">
        <v>19</v>
      </c>
      <c r="H21" s="30" t="s">
        <v>19</v>
      </c>
      <c r="I21" s="29">
        <f t="shared" ref="I21:I26" si="0">F21</f>
        <v>0</v>
      </c>
    </row>
    <row r="22" spans="1:9" x14ac:dyDescent="0.25">
      <c r="A22" s="160" t="s">
        <v>66</v>
      </c>
      <c r="B22" s="161"/>
      <c r="C22" s="161"/>
      <c r="D22" s="161"/>
      <c r="E22" s="162"/>
      <c r="F22" s="29">
        <v>0</v>
      </c>
      <c r="G22" s="30" t="s">
        <v>19</v>
      </c>
      <c r="H22" s="30" t="s">
        <v>19</v>
      </c>
      <c r="I22" s="29">
        <f t="shared" si="0"/>
        <v>0</v>
      </c>
    </row>
    <row r="23" spans="1:9" x14ac:dyDescent="0.25">
      <c r="A23" s="160" t="s">
        <v>69</v>
      </c>
      <c r="B23" s="161"/>
      <c r="C23" s="161"/>
      <c r="D23" s="161"/>
      <c r="E23" s="162"/>
      <c r="F23" s="29">
        <v>0</v>
      </c>
      <c r="G23" s="30" t="s">
        <v>19</v>
      </c>
      <c r="H23" s="30" t="s">
        <v>19</v>
      </c>
      <c r="I23" s="29">
        <f t="shared" si="0"/>
        <v>0</v>
      </c>
    </row>
    <row r="24" spans="1:9" x14ac:dyDescent="0.25">
      <c r="A24" s="160" t="s">
        <v>70</v>
      </c>
      <c r="B24" s="161"/>
      <c r="C24" s="161"/>
      <c r="D24" s="161"/>
      <c r="E24" s="162"/>
      <c r="F24" s="29">
        <v>0</v>
      </c>
      <c r="G24" s="30" t="s">
        <v>19</v>
      </c>
      <c r="H24" s="30" t="s">
        <v>19</v>
      </c>
      <c r="I24" s="29">
        <f t="shared" si="0"/>
        <v>0</v>
      </c>
    </row>
    <row r="25" spans="1:9" x14ac:dyDescent="0.25">
      <c r="A25" s="160" t="s">
        <v>72</v>
      </c>
      <c r="B25" s="161"/>
      <c r="C25" s="161"/>
      <c r="D25" s="161"/>
      <c r="E25" s="162"/>
      <c r="F25" s="29">
        <v>0</v>
      </c>
      <c r="G25" s="30" t="s">
        <v>19</v>
      </c>
      <c r="H25" s="30" t="s">
        <v>19</v>
      </c>
      <c r="I25" s="29">
        <f t="shared" si="0"/>
        <v>0</v>
      </c>
    </row>
    <row r="26" spans="1:9" x14ac:dyDescent="0.25">
      <c r="A26" s="157" t="s">
        <v>73</v>
      </c>
      <c r="B26" s="158"/>
      <c r="C26" s="158"/>
      <c r="D26" s="158"/>
      <c r="E26" s="159"/>
      <c r="F26" s="31">
        <v>0</v>
      </c>
      <c r="G26" s="32" t="s">
        <v>19</v>
      </c>
      <c r="H26" s="32" t="s">
        <v>19</v>
      </c>
      <c r="I26" s="31">
        <f t="shared" si="0"/>
        <v>0</v>
      </c>
    </row>
    <row r="27" spans="1:9" x14ac:dyDescent="0.25">
      <c r="A27" s="144" t="s">
        <v>102</v>
      </c>
      <c r="B27" s="145"/>
      <c r="C27" s="145"/>
      <c r="D27" s="145"/>
      <c r="E27" s="146"/>
      <c r="F27" s="33" t="s">
        <v>19</v>
      </c>
      <c r="G27" s="34" t="s">
        <v>19</v>
      </c>
      <c r="H27" s="34" t="s">
        <v>19</v>
      </c>
      <c r="I27" s="35">
        <f>SUM(I21:I26)</f>
        <v>0</v>
      </c>
    </row>
    <row r="29" spans="1:9" ht="15.75" x14ac:dyDescent="0.25">
      <c r="A29" s="147" t="s">
        <v>103</v>
      </c>
      <c r="B29" s="148"/>
      <c r="C29" s="148"/>
      <c r="D29" s="148"/>
      <c r="E29" s="149"/>
      <c r="F29" s="150">
        <f>I18+I27</f>
        <v>0</v>
      </c>
      <c r="G29" s="151"/>
      <c r="H29" s="151"/>
      <c r="I29" s="152"/>
    </row>
    <row r="33" spans="1:9" ht="15.75" x14ac:dyDescent="0.25">
      <c r="A33" s="153" t="s">
        <v>104</v>
      </c>
      <c r="B33" s="153"/>
      <c r="C33" s="153"/>
      <c r="D33" s="153"/>
      <c r="E33" s="153"/>
    </row>
    <row r="34" spans="1:9" x14ac:dyDescent="0.25">
      <c r="A34" s="154" t="s">
        <v>105</v>
      </c>
      <c r="B34" s="155"/>
      <c r="C34" s="155"/>
      <c r="D34" s="155"/>
      <c r="E34" s="156"/>
      <c r="F34" s="28" t="s">
        <v>98</v>
      </c>
      <c r="G34" s="28" t="s">
        <v>99</v>
      </c>
      <c r="H34" s="28" t="s">
        <v>100</v>
      </c>
      <c r="I34" s="28" t="s">
        <v>98</v>
      </c>
    </row>
    <row r="35" spans="1:9" x14ac:dyDescent="0.25">
      <c r="A35" s="157" t="s">
        <v>19</v>
      </c>
      <c r="B35" s="158"/>
      <c r="C35" s="158"/>
      <c r="D35" s="158"/>
      <c r="E35" s="159"/>
      <c r="F35" s="31">
        <v>0</v>
      </c>
      <c r="G35" s="32" t="s">
        <v>19</v>
      </c>
      <c r="H35" s="32" t="s">
        <v>19</v>
      </c>
      <c r="I35" s="31">
        <f>F35</f>
        <v>0</v>
      </c>
    </row>
    <row r="36" spans="1:9" x14ac:dyDescent="0.25">
      <c r="A36" s="144" t="s">
        <v>106</v>
      </c>
      <c r="B36" s="145"/>
      <c r="C36" s="145"/>
      <c r="D36" s="145"/>
      <c r="E36" s="146"/>
      <c r="F36" s="33" t="s">
        <v>19</v>
      </c>
      <c r="G36" s="34" t="s">
        <v>19</v>
      </c>
      <c r="H36" s="34" t="s">
        <v>19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99"/>
  <sheetViews>
    <sheetView tabSelected="1" workbookViewId="0">
      <pane ySplit="11" topLeftCell="A93" activePane="bottomLeft" state="frozen"/>
      <selection pane="bottomLeft" activeCell="H100" sqref="H100"/>
    </sheetView>
  </sheetViews>
  <sheetFormatPr defaultColWidth="12.140625" defaultRowHeight="15" customHeight="1" x14ac:dyDescent="0.25"/>
  <cols>
    <col min="1" max="1" width="3.140625" style="50" customWidth="1"/>
    <col min="2" max="2" width="7.42578125" style="50" customWidth="1"/>
    <col min="3" max="3" width="17.85546875" style="50" customWidth="1"/>
    <col min="4" max="4" width="28.42578125" style="50" customWidth="1"/>
    <col min="5" max="5" width="25.42578125" style="50" customWidth="1"/>
    <col min="6" max="6" width="4.28515625" style="50" customWidth="1"/>
    <col min="7" max="7" width="12.85546875" style="50" customWidth="1"/>
    <col min="8" max="8" width="12" style="36" customWidth="1"/>
    <col min="9" max="9" width="15.7109375" style="36" customWidth="1"/>
    <col min="10" max="24" width="12.140625" style="50"/>
    <col min="25" max="75" width="12.140625" style="50" hidden="1"/>
    <col min="76" max="76" width="54" style="50" hidden="1" customWidth="1"/>
    <col min="77" max="78" width="12.140625" style="50" hidden="1"/>
    <col min="79" max="16384" width="12.140625" style="50"/>
  </cols>
  <sheetData>
    <row r="1" spans="1:76" ht="54.75" customHeight="1" x14ac:dyDescent="0.25">
      <c r="A1" s="165" t="s">
        <v>107</v>
      </c>
      <c r="B1" s="165"/>
      <c r="C1" s="165"/>
      <c r="D1" s="165"/>
      <c r="E1" s="165"/>
      <c r="F1" s="165"/>
      <c r="G1" s="165"/>
      <c r="H1" s="48"/>
      <c r="I1" s="48"/>
      <c r="J1" s="49"/>
      <c r="K1" s="49"/>
      <c r="AS1" s="51">
        <f>SUM(AJ1:AJ2)</f>
        <v>0</v>
      </c>
      <c r="AT1" s="51">
        <f>SUM(AK1:AK2)</f>
        <v>0</v>
      </c>
      <c r="AU1" s="51">
        <f>SUM(AL1:AL2)</f>
        <v>0</v>
      </c>
    </row>
    <row r="2" spans="1:76" x14ac:dyDescent="0.25">
      <c r="A2" s="184" t="s">
        <v>1</v>
      </c>
      <c r="B2" s="185"/>
      <c r="C2" s="185"/>
      <c r="D2" s="189" t="s">
        <v>108</v>
      </c>
      <c r="E2" s="190"/>
      <c r="F2" s="185" t="s">
        <v>2</v>
      </c>
      <c r="G2" s="185"/>
      <c r="H2" s="183" t="s">
        <v>3</v>
      </c>
      <c r="I2" s="174" t="s">
        <v>4</v>
      </c>
      <c r="J2" s="52" t="s">
        <v>238</v>
      </c>
      <c r="K2" s="53"/>
    </row>
    <row r="3" spans="1:76" x14ac:dyDescent="0.25">
      <c r="A3" s="186"/>
      <c r="B3" s="171"/>
      <c r="C3" s="171"/>
      <c r="D3" s="191"/>
      <c r="E3" s="191"/>
      <c r="F3" s="171"/>
      <c r="G3" s="171"/>
      <c r="H3" s="175"/>
      <c r="I3" s="175"/>
      <c r="J3" s="54" t="s">
        <v>239</v>
      </c>
      <c r="K3" s="55"/>
    </row>
    <row r="4" spans="1:76" x14ac:dyDescent="0.25">
      <c r="A4" s="187" t="s">
        <v>5</v>
      </c>
      <c r="B4" s="171"/>
      <c r="C4" s="171"/>
      <c r="D4" s="170" t="s">
        <v>3</v>
      </c>
      <c r="E4" s="171"/>
      <c r="F4" s="171" t="s">
        <v>6</v>
      </c>
      <c r="G4" s="171"/>
      <c r="H4" s="175"/>
      <c r="I4" s="176" t="s">
        <v>8</v>
      </c>
      <c r="J4" s="54" t="s">
        <v>109</v>
      </c>
      <c r="K4" s="55"/>
    </row>
    <row r="5" spans="1:76" x14ac:dyDescent="0.25">
      <c r="A5" s="186"/>
      <c r="B5" s="171"/>
      <c r="C5" s="171"/>
      <c r="D5" s="171"/>
      <c r="E5" s="171"/>
      <c r="F5" s="171"/>
      <c r="G5" s="171"/>
      <c r="H5" s="175"/>
      <c r="I5" s="175"/>
      <c r="J5" s="54"/>
      <c r="K5" s="55"/>
    </row>
    <row r="6" spans="1:76" x14ac:dyDescent="0.25">
      <c r="A6" s="187" t="s">
        <v>9</v>
      </c>
      <c r="B6" s="171"/>
      <c r="C6" s="171"/>
      <c r="D6" s="170" t="s">
        <v>3</v>
      </c>
      <c r="E6" s="171"/>
      <c r="F6" s="171" t="s">
        <v>10</v>
      </c>
      <c r="G6" s="171"/>
      <c r="H6" s="175" t="s">
        <v>3</v>
      </c>
      <c r="I6" s="176" t="s">
        <v>11</v>
      </c>
      <c r="J6" s="54" t="s">
        <v>109</v>
      </c>
      <c r="K6" s="55"/>
    </row>
    <row r="7" spans="1:76" x14ac:dyDescent="0.25">
      <c r="A7" s="186"/>
      <c r="B7" s="171"/>
      <c r="C7" s="171"/>
      <c r="D7" s="171"/>
      <c r="E7" s="171"/>
      <c r="F7" s="171"/>
      <c r="G7" s="171"/>
      <c r="H7" s="175"/>
      <c r="I7" s="175"/>
      <c r="J7" s="54"/>
      <c r="K7" s="55"/>
    </row>
    <row r="8" spans="1:76" x14ac:dyDescent="0.25">
      <c r="A8" s="187" t="s">
        <v>51</v>
      </c>
      <c r="B8" s="171"/>
      <c r="C8" s="171"/>
      <c r="D8" s="170" t="s">
        <v>3</v>
      </c>
      <c r="E8" s="171"/>
      <c r="F8" s="171" t="s">
        <v>13</v>
      </c>
      <c r="G8" s="171"/>
      <c r="H8" s="175" t="s">
        <v>7</v>
      </c>
      <c r="I8" s="176" t="s">
        <v>12</v>
      </c>
      <c r="J8" s="54" t="s">
        <v>241</v>
      </c>
      <c r="K8" s="55"/>
    </row>
    <row r="9" spans="1:76" x14ac:dyDescent="0.25">
      <c r="A9" s="188"/>
      <c r="B9" s="182"/>
      <c r="C9" s="182"/>
      <c r="D9" s="182"/>
      <c r="E9" s="182"/>
      <c r="F9" s="182"/>
      <c r="G9" s="182"/>
      <c r="H9" s="177"/>
      <c r="I9" s="177"/>
      <c r="J9" s="56"/>
      <c r="K9" s="57"/>
    </row>
    <row r="10" spans="1:76" x14ac:dyDescent="0.25">
      <c r="A10" s="67" t="s">
        <v>110</v>
      </c>
      <c r="B10" s="68" t="s">
        <v>14</v>
      </c>
      <c r="C10" s="68" t="s">
        <v>15</v>
      </c>
      <c r="D10" s="180" t="s">
        <v>16</v>
      </c>
      <c r="E10" s="181"/>
      <c r="F10" s="68" t="s">
        <v>111</v>
      </c>
      <c r="G10" s="69" t="s">
        <v>112</v>
      </c>
      <c r="H10" s="38" t="s">
        <v>113</v>
      </c>
      <c r="I10" s="39" t="s">
        <v>114</v>
      </c>
      <c r="K10" s="58"/>
      <c r="BK10" s="59" t="s">
        <v>115</v>
      </c>
      <c r="BL10" s="60" t="s">
        <v>116</v>
      </c>
      <c r="BW10" s="60" t="s">
        <v>117</v>
      </c>
    </row>
    <row r="11" spans="1:76" x14ac:dyDescent="0.25">
      <c r="A11" s="70" t="s">
        <v>3</v>
      </c>
      <c r="B11" s="71" t="s">
        <v>3</v>
      </c>
      <c r="C11" s="71" t="s">
        <v>3</v>
      </c>
      <c r="D11" s="178" t="s">
        <v>118</v>
      </c>
      <c r="E11" s="179"/>
      <c r="F11" s="71" t="s">
        <v>3</v>
      </c>
      <c r="G11" s="71" t="s">
        <v>3</v>
      </c>
      <c r="H11" s="40" t="s">
        <v>119</v>
      </c>
      <c r="I11" s="41" t="s">
        <v>120</v>
      </c>
      <c r="K11" s="61"/>
      <c r="Z11" s="59" t="s">
        <v>121</v>
      </c>
      <c r="AA11" s="59" t="s">
        <v>122</v>
      </c>
      <c r="AB11" s="59" t="s">
        <v>123</v>
      </c>
      <c r="AC11" s="59" t="s">
        <v>124</v>
      </c>
      <c r="AD11" s="59" t="s">
        <v>125</v>
      </c>
      <c r="AE11" s="59" t="s">
        <v>126</v>
      </c>
      <c r="AF11" s="59" t="s">
        <v>127</v>
      </c>
      <c r="AG11" s="59" t="s">
        <v>128</v>
      </c>
      <c r="AH11" s="59" t="s">
        <v>129</v>
      </c>
      <c r="BH11" s="59" t="s">
        <v>130</v>
      </c>
      <c r="BI11" s="59" t="s">
        <v>131</v>
      </c>
      <c r="BJ11" s="59" t="s">
        <v>132</v>
      </c>
    </row>
    <row r="12" spans="1:76" x14ac:dyDescent="0.25">
      <c r="A12" s="72" t="s">
        <v>19</v>
      </c>
      <c r="B12" s="73" t="s">
        <v>18</v>
      </c>
      <c r="C12" s="73" t="s">
        <v>19</v>
      </c>
      <c r="D12" s="172" t="s">
        <v>20</v>
      </c>
      <c r="E12" s="173"/>
      <c r="F12" s="74" t="s">
        <v>3</v>
      </c>
      <c r="G12" s="74" t="s">
        <v>3</v>
      </c>
      <c r="H12" s="42" t="s">
        <v>3</v>
      </c>
      <c r="I12" s="43">
        <f>I13+I24+I40+I46+I49+I52+I58+I71+I79+I86+I93+I96</f>
        <v>-12210.7</v>
      </c>
      <c r="K12" s="61"/>
    </row>
    <row r="13" spans="1:76" x14ac:dyDescent="0.25">
      <c r="A13" s="75" t="s">
        <v>19</v>
      </c>
      <c r="B13" s="76" t="s">
        <v>18</v>
      </c>
      <c r="C13" s="76" t="s">
        <v>22</v>
      </c>
      <c r="D13" s="166" t="s">
        <v>23</v>
      </c>
      <c r="E13" s="167"/>
      <c r="F13" s="77" t="s">
        <v>3</v>
      </c>
      <c r="G13" s="77" t="s">
        <v>3</v>
      </c>
      <c r="H13" s="44" t="s">
        <v>3</v>
      </c>
      <c r="I13" s="37">
        <f>SUM(I14:I22)</f>
        <v>0</v>
      </c>
      <c r="K13" s="61"/>
      <c r="AI13" s="59" t="s">
        <v>18</v>
      </c>
      <c r="AS13" s="51">
        <f>SUM(AJ14:AJ22)</f>
        <v>0</v>
      </c>
      <c r="AT13" s="51">
        <f>SUM(AK14:AK22)</f>
        <v>0</v>
      </c>
      <c r="AU13" s="51">
        <f>SUM(AL14:AL22)</f>
        <v>0</v>
      </c>
    </row>
    <row r="14" spans="1:76" x14ac:dyDescent="0.25">
      <c r="A14" s="78" t="s">
        <v>133</v>
      </c>
      <c r="B14" s="79" t="s">
        <v>18</v>
      </c>
      <c r="C14" s="79" t="s">
        <v>134</v>
      </c>
      <c r="D14" s="170" t="s">
        <v>135</v>
      </c>
      <c r="E14" s="171"/>
      <c r="F14" s="79" t="s">
        <v>136</v>
      </c>
      <c r="G14" s="62">
        <v>1</v>
      </c>
      <c r="H14" s="45">
        <v>0</v>
      </c>
      <c r="I14" s="45">
        <f>ROUND(G14*H14,2)</f>
        <v>0</v>
      </c>
      <c r="K14" s="61"/>
      <c r="Z14" s="62">
        <f>ROUND(IF(AQ14="5",BJ14,0),2)</f>
        <v>0</v>
      </c>
      <c r="AB14" s="62">
        <f>ROUND(IF(AQ14="1",BH14,0),2)</f>
        <v>0</v>
      </c>
      <c r="AC14" s="62">
        <f>ROUND(IF(AQ14="1",BI14,0),2)</f>
        <v>0</v>
      </c>
      <c r="AD14" s="62">
        <f>ROUND(IF(AQ14="7",BH14,0),2)</f>
        <v>0</v>
      </c>
      <c r="AE14" s="62">
        <f>ROUND(IF(AQ14="7",BI14,0),2)</f>
        <v>0</v>
      </c>
      <c r="AF14" s="62">
        <f>ROUND(IF(AQ14="2",BH14,0),2)</f>
        <v>0</v>
      </c>
      <c r="AG14" s="62">
        <f>ROUND(IF(AQ14="2",BI14,0),2)</f>
        <v>0</v>
      </c>
      <c r="AH14" s="62">
        <f>ROUND(IF(AQ14="0",BJ14,0),2)</f>
        <v>0</v>
      </c>
      <c r="AI14" s="59" t="s">
        <v>18</v>
      </c>
      <c r="AJ14" s="62">
        <f>IF(AN14=0,I14,0)</f>
        <v>0</v>
      </c>
      <c r="AK14" s="62">
        <f>IF(AN14=12,I14,0)</f>
        <v>0</v>
      </c>
      <c r="AL14" s="62">
        <f>IF(AN14=21,I14,0)</f>
        <v>0</v>
      </c>
      <c r="AN14" s="62">
        <v>21</v>
      </c>
      <c r="AO14" s="62">
        <f>H14*0</f>
        <v>0</v>
      </c>
      <c r="AP14" s="62">
        <f>H14*(1-0)</f>
        <v>0</v>
      </c>
      <c r="AQ14" s="63" t="s">
        <v>133</v>
      </c>
      <c r="AV14" s="62">
        <f>ROUND(AW14+AX14,2)</f>
        <v>0</v>
      </c>
      <c r="AW14" s="62">
        <f>ROUND(G14*AO14,2)</f>
        <v>0</v>
      </c>
      <c r="AX14" s="62">
        <f>ROUND(G14*AP14,2)</f>
        <v>0</v>
      </c>
      <c r="AY14" s="63" t="s">
        <v>137</v>
      </c>
      <c r="AZ14" s="63" t="s">
        <v>138</v>
      </c>
      <c r="BA14" s="59" t="s">
        <v>139</v>
      </c>
      <c r="BC14" s="62">
        <f>AW14+AX14</f>
        <v>0</v>
      </c>
      <c r="BD14" s="62">
        <f>H14/(100-BE14)*100</f>
        <v>0</v>
      </c>
      <c r="BE14" s="62">
        <v>0</v>
      </c>
      <c r="BF14" s="62">
        <f>14</f>
        <v>14</v>
      </c>
      <c r="BH14" s="62">
        <f>G14*AO14</f>
        <v>0</v>
      </c>
      <c r="BI14" s="62">
        <f>G14*AP14</f>
        <v>0</v>
      </c>
      <c r="BJ14" s="62">
        <f>G14*H14</f>
        <v>0</v>
      </c>
      <c r="BK14" s="62"/>
      <c r="BL14" s="62"/>
      <c r="BW14" s="62">
        <v>21</v>
      </c>
      <c r="BX14" s="64" t="s">
        <v>135</v>
      </c>
    </row>
    <row r="15" spans="1:76" x14ac:dyDescent="0.25">
      <c r="A15" s="80"/>
      <c r="D15" s="81" t="s">
        <v>19</v>
      </c>
      <c r="E15" s="81" t="s">
        <v>19</v>
      </c>
      <c r="G15" s="82">
        <v>1</v>
      </c>
      <c r="K15" s="61"/>
    </row>
    <row r="16" spans="1:76" x14ac:dyDescent="0.25">
      <c r="A16" s="78" t="s">
        <v>140</v>
      </c>
      <c r="B16" s="79" t="s">
        <v>18</v>
      </c>
      <c r="C16" s="79" t="s">
        <v>141</v>
      </c>
      <c r="D16" s="170" t="s">
        <v>142</v>
      </c>
      <c r="E16" s="171"/>
      <c r="F16" s="79" t="s">
        <v>136</v>
      </c>
      <c r="G16" s="62">
        <v>1</v>
      </c>
      <c r="H16" s="45">
        <v>0</v>
      </c>
      <c r="I16" s="45">
        <f>ROUND(G16*H16,2)</f>
        <v>0</v>
      </c>
      <c r="K16" s="61"/>
      <c r="Z16" s="62">
        <f>ROUND(IF(AQ16="5",BJ16,0),2)</f>
        <v>0</v>
      </c>
      <c r="AB16" s="62">
        <f>ROUND(IF(AQ16="1",BH16,0),2)</f>
        <v>0</v>
      </c>
      <c r="AC16" s="62">
        <f>ROUND(IF(AQ16="1",BI16,0),2)</f>
        <v>0</v>
      </c>
      <c r="AD16" s="62">
        <f>ROUND(IF(AQ16="7",BH16,0),2)</f>
        <v>0</v>
      </c>
      <c r="AE16" s="62">
        <f>ROUND(IF(AQ16="7",BI16,0),2)</f>
        <v>0</v>
      </c>
      <c r="AF16" s="62">
        <f>ROUND(IF(AQ16="2",BH16,0),2)</f>
        <v>0</v>
      </c>
      <c r="AG16" s="62">
        <f>ROUND(IF(AQ16="2",BI16,0),2)</f>
        <v>0</v>
      </c>
      <c r="AH16" s="62">
        <f>ROUND(IF(AQ16="0",BJ16,0),2)</f>
        <v>0</v>
      </c>
      <c r="AI16" s="59" t="s">
        <v>18</v>
      </c>
      <c r="AJ16" s="62">
        <f>IF(AN16=0,I16,0)</f>
        <v>0</v>
      </c>
      <c r="AK16" s="62">
        <f>IF(AN16=12,I16,0)</f>
        <v>0</v>
      </c>
      <c r="AL16" s="62">
        <f>IF(AN16=21,I16,0)</f>
        <v>0</v>
      </c>
      <c r="AN16" s="62">
        <v>21</v>
      </c>
      <c r="AO16" s="62">
        <f>H16*0</f>
        <v>0</v>
      </c>
      <c r="AP16" s="62">
        <f>H16*(1-0)</f>
        <v>0</v>
      </c>
      <c r="AQ16" s="63" t="s">
        <v>133</v>
      </c>
      <c r="AV16" s="62">
        <f>ROUND(AW16+AX16,2)</f>
        <v>0</v>
      </c>
      <c r="AW16" s="62">
        <f>ROUND(G16*AO16,2)</f>
        <v>0</v>
      </c>
      <c r="AX16" s="62">
        <f>ROUND(G16*AP16,2)</f>
        <v>0</v>
      </c>
      <c r="AY16" s="63" t="s">
        <v>137</v>
      </c>
      <c r="AZ16" s="63" t="s">
        <v>138</v>
      </c>
      <c r="BA16" s="59" t="s">
        <v>139</v>
      </c>
      <c r="BC16" s="62">
        <f>AW16+AX16</f>
        <v>0</v>
      </c>
      <c r="BD16" s="62">
        <f>H16/(100-BE16)*100</f>
        <v>0</v>
      </c>
      <c r="BE16" s="62">
        <v>0</v>
      </c>
      <c r="BF16" s="62">
        <f>16</f>
        <v>16</v>
      </c>
      <c r="BH16" s="62">
        <f>G16*AO16</f>
        <v>0</v>
      </c>
      <c r="BI16" s="62">
        <f>G16*AP16</f>
        <v>0</v>
      </c>
      <c r="BJ16" s="62">
        <f>G16*H16</f>
        <v>0</v>
      </c>
      <c r="BK16" s="62"/>
      <c r="BL16" s="62"/>
      <c r="BW16" s="62">
        <v>21</v>
      </c>
      <c r="BX16" s="64" t="s">
        <v>142</v>
      </c>
    </row>
    <row r="17" spans="1:76" x14ac:dyDescent="0.25">
      <c r="A17" s="80"/>
      <c r="D17" s="81" t="s">
        <v>19</v>
      </c>
      <c r="E17" s="81" t="s">
        <v>19</v>
      </c>
      <c r="G17" s="82">
        <v>1</v>
      </c>
      <c r="K17" s="61"/>
    </row>
    <row r="18" spans="1:76" x14ac:dyDescent="0.25">
      <c r="A18" s="78" t="s">
        <v>143</v>
      </c>
      <c r="B18" s="79" t="s">
        <v>18</v>
      </c>
      <c r="C18" s="79" t="s">
        <v>144</v>
      </c>
      <c r="D18" s="170" t="s">
        <v>145</v>
      </c>
      <c r="E18" s="171"/>
      <c r="F18" s="79" t="s">
        <v>136</v>
      </c>
      <c r="G18" s="62">
        <v>1</v>
      </c>
      <c r="H18" s="45">
        <v>0</v>
      </c>
      <c r="I18" s="45">
        <f>ROUND(G18*H18,2)</f>
        <v>0</v>
      </c>
      <c r="K18" s="61"/>
      <c r="Z18" s="62">
        <f>ROUND(IF(AQ18="5",BJ18,0),2)</f>
        <v>0</v>
      </c>
      <c r="AB18" s="62">
        <f>ROUND(IF(AQ18="1",BH18,0),2)</f>
        <v>0</v>
      </c>
      <c r="AC18" s="62">
        <f>ROUND(IF(AQ18="1",BI18,0),2)</f>
        <v>0</v>
      </c>
      <c r="AD18" s="62">
        <f>ROUND(IF(AQ18="7",BH18,0),2)</f>
        <v>0</v>
      </c>
      <c r="AE18" s="62">
        <f>ROUND(IF(AQ18="7",BI18,0),2)</f>
        <v>0</v>
      </c>
      <c r="AF18" s="62">
        <f>ROUND(IF(AQ18="2",BH18,0),2)</f>
        <v>0</v>
      </c>
      <c r="AG18" s="62">
        <f>ROUND(IF(AQ18="2",BI18,0),2)</f>
        <v>0</v>
      </c>
      <c r="AH18" s="62">
        <f>ROUND(IF(AQ18="0",BJ18,0),2)</f>
        <v>0</v>
      </c>
      <c r="AI18" s="59" t="s">
        <v>18</v>
      </c>
      <c r="AJ18" s="62">
        <f>IF(AN18=0,I18,0)</f>
        <v>0</v>
      </c>
      <c r="AK18" s="62">
        <f>IF(AN18=12,I18,0)</f>
        <v>0</v>
      </c>
      <c r="AL18" s="62">
        <f>IF(AN18=21,I18,0)</f>
        <v>0</v>
      </c>
      <c r="AN18" s="62">
        <v>21</v>
      </c>
      <c r="AO18" s="62">
        <f>H18*0</f>
        <v>0</v>
      </c>
      <c r="AP18" s="62">
        <f>H18*(1-0)</f>
        <v>0</v>
      </c>
      <c r="AQ18" s="63" t="s">
        <v>133</v>
      </c>
      <c r="AV18" s="62">
        <f>ROUND(AW18+AX18,2)</f>
        <v>0</v>
      </c>
      <c r="AW18" s="62">
        <f>ROUND(G18*AO18,2)</f>
        <v>0</v>
      </c>
      <c r="AX18" s="62">
        <f>ROUND(G18*AP18,2)</f>
        <v>0</v>
      </c>
      <c r="AY18" s="63" t="s">
        <v>137</v>
      </c>
      <c r="AZ18" s="63" t="s">
        <v>138</v>
      </c>
      <c r="BA18" s="59" t="s">
        <v>139</v>
      </c>
      <c r="BC18" s="62">
        <f>AW18+AX18</f>
        <v>0</v>
      </c>
      <c r="BD18" s="62">
        <f>H18/(100-BE18)*100</f>
        <v>0</v>
      </c>
      <c r="BE18" s="62">
        <v>0</v>
      </c>
      <c r="BF18" s="62">
        <f>18</f>
        <v>18</v>
      </c>
      <c r="BH18" s="62">
        <f>G18*AO18</f>
        <v>0</v>
      </c>
      <c r="BI18" s="62">
        <f>G18*AP18</f>
        <v>0</v>
      </c>
      <c r="BJ18" s="62">
        <f>G18*H18</f>
        <v>0</v>
      </c>
      <c r="BK18" s="62"/>
      <c r="BL18" s="62"/>
      <c r="BW18" s="62">
        <v>21</v>
      </c>
      <c r="BX18" s="64" t="s">
        <v>145</v>
      </c>
    </row>
    <row r="19" spans="1:76" x14ac:dyDescent="0.25">
      <c r="A19" s="80"/>
      <c r="D19" s="81" t="s">
        <v>19</v>
      </c>
      <c r="E19" s="81" t="s">
        <v>19</v>
      </c>
      <c r="G19" s="82">
        <v>1</v>
      </c>
      <c r="K19" s="61"/>
    </row>
    <row r="20" spans="1:76" x14ac:dyDescent="0.25">
      <c r="A20" s="78" t="s">
        <v>146</v>
      </c>
      <c r="B20" s="79" t="s">
        <v>18</v>
      </c>
      <c r="C20" s="79" t="s">
        <v>147</v>
      </c>
      <c r="D20" s="170" t="s">
        <v>148</v>
      </c>
      <c r="E20" s="171"/>
      <c r="F20" s="79" t="s">
        <v>136</v>
      </c>
      <c r="G20" s="62">
        <v>1</v>
      </c>
      <c r="H20" s="45">
        <v>0</v>
      </c>
      <c r="I20" s="45">
        <f>ROUND(G20*H20,2)</f>
        <v>0</v>
      </c>
      <c r="K20" s="61"/>
      <c r="Z20" s="62">
        <f>ROUND(IF(AQ20="5",BJ20,0),2)</f>
        <v>0</v>
      </c>
      <c r="AB20" s="62">
        <f>ROUND(IF(AQ20="1",BH20,0),2)</f>
        <v>0</v>
      </c>
      <c r="AC20" s="62">
        <f>ROUND(IF(AQ20="1",BI20,0),2)</f>
        <v>0</v>
      </c>
      <c r="AD20" s="62">
        <f>ROUND(IF(AQ20="7",BH20,0),2)</f>
        <v>0</v>
      </c>
      <c r="AE20" s="62">
        <f>ROUND(IF(AQ20="7",BI20,0),2)</f>
        <v>0</v>
      </c>
      <c r="AF20" s="62">
        <f>ROUND(IF(AQ20="2",BH20,0),2)</f>
        <v>0</v>
      </c>
      <c r="AG20" s="62">
        <f>ROUND(IF(AQ20="2",BI20,0),2)</f>
        <v>0</v>
      </c>
      <c r="AH20" s="62">
        <f>ROUND(IF(AQ20="0",BJ20,0),2)</f>
        <v>0</v>
      </c>
      <c r="AI20" s="59" t="s">
        <v>18</v>
      </c>
      <c r="AJ20" s="62">
        <f>IF(AN20=0,I20,0)</f>
        <v>0</v>
      </c>
      <c r="AK20" s="62">
        <f>IF(AN20=12,I20,0)</f>
        <v>0</v>
      </c>
      <c r="AL20" s="62">
        <f>IF(AN20=21,I20,0)</f>
        <v>0</v>
      </c>
      <c r="AN20" s="62">
        <v>21</v>
      </c>
      <c r="AO20" s="62">
        <f>H20*0</f>
        <v>0</v>
      </c>
      <c r="AP20" s="62">
        <f>H20*(1-0)</f>
        <v>0</v>
      </c>
      <c r="AQ20" s="63" t="s">
        <v>133</v>
      </c>
      <c r="AV20" s="62">
        <f>ROUND(AW20+AX20,2)</f>
        <v>0</v>
      </c>
      <c r="AW20" s="62">
        <f>ROUND(G20*AO20,2)</f>
        <v>0</v>
      </c>
      <c r="AX20" s="62">
        <f>ROUND(G20*AP20,2)</f>
        <v>0</v>
      </c>
      <c r="AY20" s="63" t="s">
        <v>137</v>
      </c>
      <c r="AZ20" s="63" t="s">
        <v>138</v>
      </c>
      <c r="BA20" s="59" t="s">
        <v>139</v>
      </c>
      <c r="BC20" s="62">
        <f>AW20+AX20</f>
        <v>0</v>
      </c>
      <c r="BD20" s="62">
        <f>H20/(100-BE20)*100</f>
        <v>0</v>
      </c>
      <c r="BE20" s="62">
        <v>0</v>
      </c>
      <c r="BF20" s="62">
        <f>20</f>
        <v>20</v>
      </c>
      <c r="BH20" s="62">
        <f>G20*AO20</f>
        <v>0</v>
      </c>
      <c r="BI20" s="62">
        <f>G20*AP20</f>
        <v>0</v>
      </c>
      <c r="BJ20" s="62">
        <f>G20*H20</f>
        <v>0</v>
      </c>
      <c r="BK20" s="62"/>
      <c r="BL20" s="62"/>
      <c r="BW20" s="62">
        <v>21</v>
      </c>
      <c r="BX20" s="64" t="s">
        <v>148</v>
      </c>
    </row>
    <row r="21" spans="1:76" x14ac:dyDescent="0.25">
      <c r="A21" s="80"/>
      <c r="D21" s="81" t="s">
        <v>19</v>
      </c>
      <c r="E21" s="81" t="s">
        <v>19</v>
      </c>
      <c r="G21" s="82">
        <v>1</v>
      </c>
      <c r="K21" s="61"/>
    </row>
    <row r="22" spans="1:76" x14ac:dyDescent="0.25">
      <c r="A22" s="78" t="s">
        <v>149</v>
      </c>
      <c r="B22" s="79" t="s">
        <v>18</v>
      </c>
      <c r="C22" s="79" t="s">
        <v>150</v>
      </c>
      <c r="D22" s="170" t="s">
        <v>151</v>
      </c>
      <c r="E22" s="171"/>
      <c r="F22" s="79" t="s">
        <v>136</v>
      </c>
      <c r="G22" s="62">
        <v>1</v>
      </c>
      <c r="H22" s="45">
        <v>0</v>
      </c>
      <c r="I22" s="45">
        <f>ROUND(G22*H22,2)</f>
        <v>0</v>
      </c>
      <c r="K22" s="61"/>
      <c r="Z22" s="62">
        <f>ROUND(IF(AQ22="5",BJ22,0),2)</f>
        <v>0</v>
      </c>
      <c r="AB22" s="62">
        <f>ROUND(IF(AQ22="1",BH22,0),2)</f>
        <v>0</v>
      </c>
      <c r="AC22" s="62">
        <f>ROUND(IF(AQ22="1",BI22,0),2)</f>
        <v>0</v>
      </c>
      <c r="AD22" s="62">
        <f>ROUND(IF(AQ22="7",BH22,0),2)</f>
        <v>0</v>
      </c>
      <c r="AE22" s="62">
        <f>ROUND(IF(AQ22="7",BI22,0),2)</f>
        <v>0</v>
      </c>
      <c r="AF22" s="62">
        <f>ROUND(IF(AQ22="2",BH22,0),2)</f>
        <v>0</v>
      </c>
      <c r="AG22" s="62">
        <f>ROUND(IF(AQ22="2",BI22,0),2)</f>
        <v>0</v>
      </c>
      <c r="AH22" s="62">
        <f>ROUND(IF(AQ22="0",BJ22,0),2)</f>
        <v>0</v>
      </c>
      <c r="AI22" s="59" t="s">
        <v>18</v>
      </c>
      <c r="AJ22" s="62">
        <f>IF(AN22=0,I22,0)</f>
        <v>0</v>
      </c>
      <c r="AK22" s="62">
        <f>IF(AN22=12,I22,0)</f>
        <v>0</v>
      </c>
      <c r="AL22" s="62">
        <f>IF(AN22=21,I22,0)</f>
        <v>0</v>
      </c>
      <c r="AN22" s="62">
        <v>21</v>
      </c>
      <c r="AO22" s="62">
        <f>H22*0</f>
        <v>0</v>
      </c>
      <c r="AP22" s="62">
        <f>H22*(1-0)</f>
        <v>0</v>
      </c>
      <c r="AQ22" s="63" t="s">
        <v>133</v>
      </c>
      <c r="AV22" s="62">
        <f>ROUND(AW22+AX22,2)</f>
        <v>0</v>
      </c>
      <c r="AW22" s="62">
        <f>ROUND(G22*AO22,2)</f>
        <v>0</v>
      </c>
      <c r="AX22" s="62">
        <f>ROUND(G22*AP22,2)</f>
        <v>0</v>
      </c>
      <c r="AY22" s="63" t="s">
        <v>137</v>
      </c>
      <c r="AZ22" s="63" t="s">
        <v>138</v>
      </c>
      <c r="BA22" s="59" t="s">
        <v>139</v>
      </c>
      <c r="BC22" s="62">
        <f>AW22+AX22</f>
        <v>0</v>
      </c>
      <c r="BD22" s="62">
        <f>H22/(100-BE22)*100</f>
        <v>0</v>
      </c>
      <c r="BE22" s="62">
        <v>0</v>
      </c>
      <c r="BF22" s="62">
        <f>22</f>
        <v>22</v>
      </c>
      <c r="BH22" s="62">
        <f>G22*AO22</f>
        <v>0</v>
      </c>
      <c r="BI22" s="62">
        <f>G22*AP22</f>
        <v>0</v>
      </c>
      <c r="BJ22" s="62">
        <f>G22*H22</f>
        <v>0</v>
      </c>
      <c r="BK22" s="62"/>
      <c r="BL22" s="62"/>
      <c r="BW22" s="62">
        <v>21</v>
      </c>
      <c r="BX22" s="64" t="s">
        <v>151</v>
      </c>
    </row>
    <row r="23" spans="1:76" x14ac:dyDescent="0.25">
      <c r="A23" s="80"/>
      <c r="D23" s="81" t="s">
        <v>19</v>
      </c>
      <c r="E23" s="81" t="s">
        <v>19</v>
      </c>
      <c r="G23" s="82">
        <v>1</v>
      </c>
      <c r="K23" s="61"/>
    </row>
    <row r="24" spans="1:76" x14ac:dyDescent="0.25">
      <c r="A24" s="75" t="s">
        <v>19</v>
      </c>
      <c r="B24" s="76" t="s">
        <v>18</v>
      </c>
      <c r="C24" s="76" t="s">
        <v>25</v>
      </c>
      <c r="D24" s="166" t="s">
        <v>26</v>
      </c>
      <c r="E24" s="167"/>
      <c r="F24" s="77" t="s">
        <v>3</v>
      </c>
      <c r="G24" s="77" t="s">
        <v>3</v>
      </c>
      <c r="H24" s="44" t="s">
        <v>3</v>
      </c>
      <c r="I24" s="37">
        <f>SUM(I25:I35)</f>
        <v>0</v>
      </c>
      <c r="K24" s="61"/>
      <c r="AI24" s="59" t="s">
        <v>18</v>
      </c>
      <c r="AS24" s="51">
        <f>SUM(AJ25:AJ35)</f>
        <v>0</v>
      </c>
      <c r="AT24" s="51">
        <f>SUM(AK25:AK35)</f>
        <v>0</v>
      </c>
      <c r="AU24" s="51">
        <f>SUM(AL25:AL35)</f>
        <v>0</v>
      </c>
    </row>
    <row r="25" spans="1:76" x14ac:dyDescent="0.25">
      <c r="A25" s="78" t="s">
        <v>152</v>
      </c>
      <c r="B25" s="79" t="s">
        <v>18</v>
      </c>
      <c r="C25" s="79" t="s">
        <v>153</v>
      </c>
      <c r="D25" s="170" t="s">
        <v>154</v>
      </c>
      <c r="E25" s="171"/>
      <c r="F25" s="79" t="s">
        <v>155</v>
      </c>
      <c r="G25" s="62">
        <v>923.3</v>
      </c>
      <c r="H25" s="45">
        <v>0</v>
      </c>
      <c r="I25" s="45">
        <f>ROUND(G25*H25,2)</f>
        <v>0</v>
      </c>
      <c r="K25" s="61"/>
      <c r="Z25" s="62">
        <f>ROUND(IF(AQ25="5",BJ25,0),2)</f>
        <v>0</v>
      </c>
      <c r="AB25" s="62">
        <f>ROUND(IF(AQ25="1",BH25,0),2)</f>
        <v>0</v>
      </c>
      <c r="AC25" s="62">
        <f>ROUND(IF(AQ25="1",BI25,0),2)</f>
        <v>0</v>
      </c>
      <c r="AD25" s="62">
        <f>ROUND(IF(AQ25="7",BH25,0),2)</f>
        <v>0</v>
      </c>
      <c r="AE25" s="62">
        <f>ROUND(IF(AQ25="7",BI25,0),2)</f>
        <v>0</v>
      </c>
      <c r="AF25" s="62">
        <f>ROUND(IF(AQ25="2",BH25,0),2)</f>
        <v>0</v>
      </c>
      <c r="AG25" s="62">
        <f>ROUND(IF(AQ25="2",BI25,0),2)</f>
        <v>0</v>
      </c>
      <c r="AH25" s="62">
        <f>ROUND(IF(AQ25="0",BJ25,0),2)</f>
        <v>0</v>
      </c>
      <c r="AI25" s="59" t="s">
        <v>18</v>
      </c>
      <c r="AJ25" s="62">
        <f>IF(AN25=0,I25,0)</f>
        <v>0</v>
      </c>
      <c r="AK25" s="62">
        <f>IF(AN25=12,I25,0)</f>
        <v>0</v>
      </c>
      <c r="AL25" s="62">
        <f>IF(AN25=21,I25,0)</f>
        <v>0</v>
      </c>
      <c r="AN25" s="62">
        <v>21</v>
      </c>
      <c r="AO25" s="62">
        <f>H25*0</f>
        <v>0</v>
      </c>
      <c r="AP25" s="62">
        <f>H25*(1-0)</f>
        <v>0</v>
      </c>
      <c r="AQ25" s="63" t="s">
        <v>133</v>
      </c>
      <c r="AV25" s="62">
        <f>ROUND(AW25+AX25,2)</f>
        <v>0</v>
      </c>
      <c r="AW25" s="62">
        <f>ROUND(G25*AO25,2)</f>
        <v>0</v>
      </c>
      <c r="AX25" s="62">
        <f>ROUND(G25*AP25,2)</f>
        <v>0</v>
      </c>
      <c r="AY25" s="63" t="s">
        <v>156</v>
      </c>
      <c r="AZ25" s="63" t="s">
        <v>138</v>
      </c>
      <c r="BA25" s="59" t="s">
        <v>139</v>
      </c>
      <c r="BC25" s="62">
        <f>AW25+AX25</f>
        <v>0</v>
      </c>
      <c r="BD25" s="62">
        <f>H25/(100-BE25)*100</f>
        <v>0</v>
      </c>
      <c r="BE25" s="62">
        <v>0</v>
      </c>
      <c r="BF25" s="62">
        <f>25</f>
        <v>25</v>
      </c>
      <c r="BH25" s="62">
        <f>G25*AO25</f>
        <v>0</v>
      </c>
      <c r="BI25" s="62">
        <f>G25*AP25</f>
        <v>0</v>
      </c>
      <c r="BJ25" s="62">
        <f>G25*H25</f>
        <v>0</v>
      </c>
      <c r="BK25" s="62"/>
      <c r="BL25" s="62">
        <v>11</v>
      </c>
      <c r="BW25" s="62">
        <v>21</v>
      </c>
      <c r="BX25" s="64" t="s">
        <v>154</v>
      </c>
    </row>
    <row r="26" spans="1:76" x14ac:dyDescent="0.25">
      <c r="A26" s="80"/>
      <c r="D26" s="81" t="s">
        <v>19</v>
      </c>
      <c r="E26" s="81" t="s">
        <v>19</v>
      </c>
      <c r="G26" s="82">
        <v>923.3</v>
      </c>
      <c r="K26" s="61"/>
    </row>
    <row r="27" spans="1:76" x14ac:dyDescent="0.25">
      <c r="A27" s="80"/>
      <c r="D27" s="81" t="s">
        <v>157</v>
      </c>
      <c r="E27" s="81" t="s">
        <v>19</v>
      </c>
      <c r="G27" s="82">
        <v>0</v>
      </c>
      <c r="K27" s="61"/>
    </row>
    <row r="28" spans="1:76" x14ac:dyDescent="0.25">
      <c r="A28" s="80"/>
      <c r="D28" s="81" t="s">
        <v>158</v>
      </c>
      <c r="E28" s="81" t="s">
        <v>19</v>
      </c>
      <c r="G28" s="82">
        <v>48</v>
      </c>
      <c r="K28" s="61"/>
    </row>
    <row r="29" spans="1:76" x14ac:dyDescent="0.25">
      <c r="A29" s="80"/>
      <c r="D29" s="81" t="s">
        <v>19</v>
      </c>
      <c r="E29" s="81" t="s">
        <v>19</v>
      </c>
      <c r="G29" s="82">
        <v>48</v>
      </c>
      <c r="K29" s="61"/>
    </row>
    <row r="30" spans="1:76" x14ac:dyDescent="0.25">
      <c r="A30" s="80"/>
      <c r="D30" s="81" t="s">
        <v>159</v>
      </c>
      <c r="E30" s="81" t="s">
        <v>19</v>
      </c>
      <c r="G30" s="82">
        <v>65.325000000000003</v>
      </c>
      <c r="K30" s="61"/>
    </row>
    <row r="31" spans="1:76" x14ac:dyDescent="0.25">
      <c r="A31" s="80"/>
      <c r="D31" s="81" t="s">
        <v>19</v>
      </c>
      <c r="E31" s="81" t="s">
        <v>19</v>
      </c>
      <c r="G31" s="82">
        <v>65.325000000000003</v>
      </c>
      <c r="K31" s="61"/>
    </row>
    <row r="32" spans="1:76" x14ac:dyDescent="0.25">
      <c r="A32" s="80"/>
      <c r="D32" s="81" t="s">
        <v>160</v>
      </c>
      <c r="E32" s="81" t="s">
        <v>19</v>
      </c>
      <c r="G32" s="82">
        <v>0</v>
      </c>
      <c r="K32" s="61"/>
    </row>
    <row r="33" spans="1:76" x14ac:dyDescent="0.25">
      <c r="A33" s="80"/>
      <c r="D33" s="81" t="s">
        <v>161</v>
      </c>
      <c r="E33" s="81" t="s">
        <v>19</v>
      </c>
      <c r="G33" s="82">
        <v>809.97500000000002</v>
      </c>
      <c r="K33" s="61"/>
    </row>
    <row r="34" spans="1:76" x14ac:dyDescent="0.25">
      <c r="A34" s="80"/>
      <c r="D34" s="81" t="s">
        <v>19</v>
      </c>
      <c r="E34" s="81" t="s">
        <v>19</v>
      </c>
      <c r="G34" s="82">
        <v>809.97500000000002</v>
      </c>
      <c r="K34" s="61"/>
    </row>
    <row r="35" spans="1:76" x14ac:dyDescent="0.25">
      <c r="A35" s="78" t="s">
        <v>162</v>
      </c>
      <c r="B35" s="79" t="s">
        <v>18</v>
      </c>
      <c r="C35" s="79" t="s">
        <v>163</v>
      </c>
      <c r="D35" s="170" t="s">
        <v>164</v>
      </c>
      <c r="E35" s="171"/>
      <c r="F35" s="79" t="s">
        <v>155</v>
      </c>
      <c r="G35" s="62">
        <v>2.1</v>
      </c>
      <c r="H35" s="45">
        <v>0</v>
      </c>
      <c r="I35" s="45">
        <f>ROUND(G35*H35,2)</f>
        <v>0</v>
      </c>
      <c r="K35" s="61"/>
      <c r="Z35" s="62">
        <f>ROUND(IF(AQ35="5",BJ35,0),2)</f>
        <v>0</v>
      </c>
      <c r="AB35" s="62">
        <f>ROUND(IF(AQ35="1",BH35,0),2)</f>
        <v>0</v>
      </c>
      <c r="AC35" s="62">
        <f>ROUND(IF(AQ35="1",BI35,0),2)</f>
        <v>0</v>
      </c>
      <c r="AD35" s="62">
        <f>ROUND(IF(AQ35="7",BH35,0),2)</f>
        <v>0</v>
      </c>
      <c r="AE35" s="62">
        <f>ROUND(IF(AQ35="7",BI35,0),2)</f>
        <v>0</v>
      </c>
      <c r="AF35" s="62">
        <f>ROUND(IF(AQ35="2",BH35,0),2)</f>
        <v>0</v>
      </c>
      <c r="AG35" s="62">
        <f>ROUND(IF(AQ35="2",BI35,0),2)</f>
        <v>0</v>
      </c>
      <c r="AH35" s="62">
        <f>ROUND(IF(AQ35="0",BJ35,0),2)</f>
        <v>0</v>
      </c>
      <c r="AI35" s="59" t="s">
        <v>18</v>
      </c>
      <c r="AJ35" s="62">
        <f>IF(AN35=0,I35,0)</f>
        <v>0</v>
      </c>
      <c r="AK35" s="62">
        <f>IF(AN35=12,I35,0)</f>
        <v>0</v>
      </c>
      <c r="AL35" s="62">
        <f>IF(AN35=21,I35,0)</f>
        <v>0</v>
      </c>
      <c r="AN35" s="62">
        <v>21</v>
      </c>
      <c r="AO35" s="62">
        <f>H35*0</f>
        <v>0</v>
      </c>
      <c r="AP35" s="62">
        <f>H35*(1-0)</f>
        <v>0</v>
      </c>
      <c r="AQ35" s="63" t="s">
        <v>133</v>
      </c>
      <c r="AV35" s="62">
        <f>ROUND(AW35+AX35,2)</f>
        <v>0</v>
      </c>
      <c r="AW35" s="62">
        <f>ROUND(G35*AO35,2)</f>
        <v>0</v>
      </c>
      <c r="AX35" s="62">
        <f>ROUND(G35*AP35,2)</f>
        <v>0</v>
      </c>
      <c r="AY35" s="63" t="s">
        <v>156</v>
      </c>
      <c r="AZ35" s="63" t="s">
        <v>138</v>
      </c>
      <c r="BA35" s="59" t="s">
        <v>139</v>
      </c>
      <c r="BC35" s="62">
        <f>AW35+AX35</f>
        <v>0</v>
      </c>
      <c r="BD35" s="62">
        <f>H35/(100-BE35)*100</f>
        <v>0</v>
      </c>
      <c r="BE35" s="62">
        <v>0</v>
      </c>
      <c r="BF35" s="62">
        <f>35</f>
        <v>35</v>
      </c>
      <c r="BH35" s="62">
        <f>G35*AO35</f>
        <v>0</v>
      </c>
      <c r="BI35" s="62">
        <f>G35*AP35</f>
        <v>0</v>
      </c>
      <c r="BJ35" s="62">
        <f>G35*H35</f>
        <v>0</v>
      </c>
      <c r="BK35" s="62"/>
      <c r="BL35" s="62">
        <v>11</v>
      </c>
      <c r="BW35" s="62">
        <v>21</v>
      </c>
      <c r="BX35" s="64" t="s">
        <v>164</v>
      </c>
    </row>
    <row r="36" spans="1:76" x14ac:dyDescent="0.25">
      <c r="A36" s="80"/>
      <c r="D36" s="81" t="s">
        <v>19</v>
      </c>
      <c r="E36" s="81" t="s">
        <v>19</v>
      </c>
      <c r="G36" s="82">
        <v>2.1</v>
      </c>
      <c r="K36" s="61"/>
    </row>
    <row r="37" spans="1:76" x14ac:dyDescent="0.25">
      <c r="A37" s="80"/>
      <c r="D37" s="81" t="s">
        <v>165</v>
      </c>
      <c r="E37" s="81" t="s">
        <v>19</v>
      </c>
      <c r="G37" s="82">
        <v>0</v>
      </c>
      <c r="K37" s="61"/>
    </row>
    <row r="38" spans="1:76" x14ac:dyDescent="0.25">
      <c r="A38" s="80"/>
      <c r="D38" s="81" t="s">
        <v>166</v>
      </c>
      <c r="E38" s="81" t="s">
        <v>19</v>
      </c>
      <c r="G38" s="82">
        <v>2.1</v>
      </c>
      <c r="K38" s="61"/>
    </row>
    <row r="39" spans="1:76" x14ac:dyDescent="0.25">
      <c r="A39" s="80"/>
      <c r="D39" s="81" t="s">
        <v>19</v>
      </c>
      <c r="E39" s="81" t="s">
        <v>19</v>
      </c>
      <c r="G39" s="82">
        <v>2.1</v>
      </c>
      <c r="K39" s="61"/>
    </row>
    <row r="40" spans="1:76" x14ac:dyDescent="0.25">
      <c r="A40" s="75" t="s">
        <v>19</v>
      </c>
      <c r="B40" s="76" t="s">
        <v>18</v>
      </c>
      <c r="C40" s="76" t="s">
        <v>27</v>
      </c>
      <c r="D40" s="166" t="s">
        <v>28</v>
      </c>
      <c r="E40" s="167"/>
      <c r="F40" s="77" t="s">
        <v>3</v>
      </c>
      <c r="G40" s="77" t="s">
        <v>3</v>
      </c>
      <c r="H40" s="44" t="s">
        <v>3</v>
      </c>
      <c r="I40" s="37">
        <f>SUM(I41:I41)</f>
        <v>0</v>
      </c>
      <c r="K40" s="61"/>
      <c r="AI40" s="59" t="s">
        <v>18</v>
      </c>
      <c r="AS40" s="51">
        <f>SUM(AJ41:AJ41)</f>
        <v>0</v>
      </c>
      <c r="AT40" s="51">
        <f>SUM(AK41:AK41)</f>
        <v>0</v>
      </c>
      <c r="AU40" s="51">
        <f>SUM(AL41:AL41)</f>
        <v>0</v>
      </c>
    </row>
    <row r="41" spans="1:76" x14ac:dyDescent="0.25">
      <c r="A41" s="78" t="s">
        <v>167</v>
      </c>
      <c r="B41" s="79" t="s">
        <v>18</v>
      </c>
      <c r="C41" s="79" t="s">
        <v>168</v>
      </c>
      <c r="D41" s="170" t="s">
        <v>169</v>
      </c>
      <c r="E41" s="171"/>
      <c r="F41" s="79" t="s">
        <v>170</v>
      </c>
      <c r="G41" s="62">
        <v>0.63</v>
      </c>
      <c r="H41" s="45">
        <v>0</v>
      </c>
      <c r="I41" s="45">
        <f>ROUND(G41*H41,2)</f>
        <v>0</v>
      </c>
      <c r="K41" s="61"/>
      <c r="Z41" s="62">
        <f>ROUND(IF(AQ41="5",BJ41,0),2)</f>
        <v>0</v>
      </c>
      <c r="AB41" s="62">
        <f>ROUND(IF(AQ41="1",BH41,0),2)</f>
        <v>0</v>
      </c>
      <c r="AC41" s="62">
        <f>ROUND(IF(AQ41="1",BI41,0),2)</f>
        <v>0</v>
      </c>
      <c r="AD41" s="62">
        <f>ROUND(IF(AQ41="7",BH41,0),2)</f>
        <v>0</v>
      </c>
      <c r="AE41" s="62">
        <f>ROUND(IF(AQ41="7",BI41,0),2)</f>
        <v>0</v>
      </c>
      <c r="AF41" s="62">
        <f>ROUND(IF(AQ41="2",BH41,0),2)</f>
        <v>0</v>
      </c>
      <c r="AG41" s="62">
        <f>ROUND(IF(AQ41="2",BI41,0),2)</f>
        <v>0</v>
      </c>
      <c r="AH41" s="62">
        <f>ROUND(IF(AQ41="0",BJ41,0),2)</f>
        <v>0</v>
      </c>
      <c r="AI41" s="59" t="s">
        <v>18</v>
      </c>
      <c r="AJ41" s="62">
        <f>IF(AN41=0,I41,0)</f>
        <v>0</v>
      </c>
      <c r="AK41" s="62">
        <f>IF(AN41=12,I41,0)</f>
        <v>0</v>
      </c>
      <c r="AL41" s="62">
        <f>IF(AN41=21,I41,0)</f>
        <v>0</v>
      </c>
      <c r="AN41" s="62">
        <v>21</v>
      </c>
      <c r="AO41" s="62">
        <f>H41*0</f>
        <v>0</v>
      </c>
      <c r="AP41" s="62">
        <f>H41*(1-0)</f>
        <v>0</v>
      </c>
      <c r="AQ41" s="63" t="s">
        <v>133</v>
      </c>
      <c r="AV41" s="62">
        <f>ROUND(AW41+AX41,2)</f>
        <v>0</v>
      </c>
      <c r="AW41" s="62">
        <f>ROUND(G41*AO41,2)</f>
        <v>0</v>
      </c>
      <c r="AX41" s="62">
        <f>ROUND(G41*AP41,2)</f>
        <v>0</v>
      </c>
      <c r="AY41" s="63" t="s">
        <v>171</v>
      </c>
      <c r="AZ41" s="63" t="s">
        <v>138</v>
      </c>
      <c r="BA41" s="59" t="s">
        <v>139</v>
      </c>
      <c r="BC41" s="62">
        <f>AW41+AX41</f>
        <v>0</v>
      </c>
      <c r="BD41" s="62">
        <f>H41/(100-BE41)*100</f>
        <v>0</v>
      </c>
      <c r="BE41" s="62">
        <v>0</v>
      </c>
      <c r="BF41" s="62">
        <f>41</f>
        <v>41</v>
      </c>
      <c r="BH41" s="62">
        <f>G41*AO41</f>
        <v>0</v>
      </c>
      <c r="BI41" s="62">
        <f>G41*AP41</f>
        <v>0</v>
      </c>
      <c r="BJ41" s="62">
        <f>G41*H41</f>
        <v>0</v>
      </c>
      <c r="BK41" s="62"/>
      <c r="BL41" s="62">
        <v>13</v>
      </c>
      <c r="BW41" s="62">
        <v>21</v>
      </c>
      <c r="BX41" s="64" t="s">
        <v>169</v>
      </c>
    </row>
    <row r="42" spans="1:76" x14ac:dyDescent="0.25">
      <c r="A42" s="80"/>
      <c r="D42" s="81" t="s">
        <v>19</v>
      </c>
      <c r="E42" s="81" t="s">
        <v>19</v>
      </c>
      <c r="G42" s="82">
        <v>0.63</v>
      </c>
      <c r="K42" s="61"/>
    </row>
    <row r="43" spans="1:76" x14ac:dyDescent="0.25">
      <c r="A43" s="80"/>
      <c r="D43" s="81" t="s">
        <v>172</v>
      </c>
      <c r="E43" s="81" t="s">
        <v>19</v>
      </c>
      <c r="G43" s="82">
        <v>0</v>
      </c>
      <c r="K43" s="61"/>
    </row>
    <row r="44" spans="1:76" x14ac:dyDescent="0.25">
      <c r="A44" s="80"/>
      <c r="D44" s="81" t="s">
        <v>173</v>
      </c>
      <c r="E44" s="81" t="s">
        <v>19</v>
      </c>
      <c r="G44" s="82">
        <v>0.63</v>
      </c>
      <c r="K44" s="61"/>
    </row>
    <row r="45" spans="1:76" x14ac:dyDescent="0.25">
      <c r="A45" s="80"/>
      <c r="D45" s="81" t="s">
        <v>19</v>
      </c>
      <c r="E45" s="81" t="s">
        <v>19</v>
      </c>
      <c r="G45" s="82">
        <v>0.63</v>
      </c>
      <c r="K45" s="61"/>
    </row>
    <row r="46" spans="1:76" x14ac:dyDescent="0.25">
      <c r="A46" s="75" t="s">
        <v>19</v>
      </c>
      <c r="B46" s="76" t="s">
        <v>18</v>
      </c>
      <c r="C46" s="76" t="s">
        <v>29</v>
      </c>
      <c r="D46" s="166" t="s">
        <v>30</v>
      </c>
      <c r="E46" s="167"/>
      <c r="F46" s="77" t="s">
        <v>3</v>
      </c>
      <c r="G46" s="77" t="s">
        <v>3</v>
      </c>
      <c r="H46" s="44" t="s">
        <v>3</v>
      </c>
      <c r="I46" s="37">
        <f>SUM(I47:I47)</f>
        <v>0</v>
      </c>
      <c r="K46" s="61"/>
      <c r="AI46" s="59" t="s">
        <v>18</v>
      </c>
      <c r="AS46" s="51">
        <f>SUM(AJ47:AJ47)</f>
        <v>0</v>
      </c>
      <c r="AT46" s="51">
        <f>SUM(AK47:AK47)</f>
        <v>0</v>
      </c>
      <c r="AU46" s="51">
        <f>SUM(AL47:AL47)</f>
        <v>0</v>
      </c>
    </row>
    <row r="47" spans="1:76" x14ac:dyDescent="0.25">
      <c r="A47" s="78" t="s">
        <v>174</v>
      </c>
      <c r="B47" s="79" t="s">
        <v>18</v>
      </c>
      <c r="C47" s="79" t="s">
        <v>175</v>
      </c>
      <c r="D47" s="170" t="s">
        <v>176</v>
      </c>
      <c r="E47" s="171"/>
      <c r="F47" s="79" t="s">
        <v>170</v>
      </c>
      <c r="G47" s="62">
        <v>0.63</v>
      </c>
      <c r="H47" s="45">
        <v>0</v>
      </c>
      <c r="I47" s="45">
        <f>ROUND(G47*H47,2)</f>
        <v>0</v>
      </c>
      <c r="K47" s="61"/>
      <c r="Z47" s="62">
        <f>ROUND(IF(AQ47="5",BJ47,0),2)</f>
        <v>0</v>
      </c>
      <c r="AB47" s="62">
        <f>ROUND(IF(AQ47="1",BH47,0),2)</f>
        <v>0</v>
      </c>
      <c r="AC47" s="62">
        <f>ROUND(IF(AQ47="1",BI47,0),2)</f>
        <v>0</v>
      </c>
      <c r="AD47" s="62">
        <f>ROUND(IF(AQ47="7",BH47,0),2)</f>
        <v>0</v>
      </c>
      <c r="AE47" s="62">
        <f>ROUND(IF(AQ47="7",BI47,0),2)</f>
        <v>0</v>
      </c>
      <c r="AF47" s="62">
        <f>ROUND(IF(AQ47="2",BH47,0),2)</f>
        <v>0</v>
      </c>
      <c r="AG47" s="62">
        <f>ROUND(IF(AQ47="2",BI47,0),2)</f>
        <v>0</v>
      </c>
      <c r="AH47" s="62">
        <f>ROUND(IF(AQ47="0",BJ47,0),2)</f>
        <v>0</v>
      </c>
      <c r="AI47" s="59" t="s">
        <v>18</v>
      </c>
      <c r="AJ47" s="62">
        <f>IF(AN47=0,I47,0)</f>
        <v>0</v>
      </c>
      <c r="AK47" s="62">
        <f>IF(AN47=12,I47,0)</f>
        <v>0</v>
      </c>
      <c r="AL47" s="62">
        <f>IF(AN47=21,I47,0)</f>
        <v>0</v>
      </c>
      <c r="AN47" s="62">
        <v>21</v>
      </c>
      <c r="AO47" s="62">
        <f>H47*0</f>
        <v>0</v>
      </c>
      <c r="AP47" s="62">
        <f>H47*(1-0)</f>
        <v>0</v>
      </c>
      <c r="AQ47" s="63" t="s">
        <v>133</v>
      </c>
      <c r="AV47" s="62">
        <f>ROUND(AW47+AX47,2)</f>
        <v>0</v>
      </c>
      <c r="AW47" s="62">
        <f>ROUND(G47*AO47,2)</f>
        <v>0</v>
      </c>
      <c r="AX47" s="62">
        <f>ROUND(G47*AP47,2)</f>
        <v>0</v>
      </c>
      <c r="AY47" s="63" t="s">
        <v>177</v>
      </c>
      <c r="AZ47" s="63" t="s">
        <v>138</v>
      </c>
      <c r="BA47" s="59" t="s">
        <v>139</v>
      </c>
      <c r="BC47" s="62">
        <f>AW47+AX47</f>
        <v>0</v>
      </c>
      <c r="BD47" s="62">
        <f>H47/(100-BE47)*100</f>
        <v>0</v>
      </c>
      <c r="BE47" s="62">
        <v>0</v>
      </c>
      <c r="BF47" s="62">
        <f>47</f>
        <v>47</v>
      </c>
      <c r="BH47" s="62">
        <f>G47*AO47</f>
        <v>0</v>
      </c>
      <c r="BI47" s="62">
        <f>G47*AP47</f>
        <v>0</v>
      </c>
      <c r="BJ47" s="62">
        <f>G47*H47</f>
        <v>0</v>
      </c>
      <c r="BK47" s="62"/>
      <c r="BL47" s="62">
        <v>16</v>
      </c>
      <c r="BW47" s="62">
        <v>21</v>
      </c>
      <c r="BX47" s="64" t="s">
        <v>176</v>
      </c>
    </row>
    <row r="48" spans="1:76" x14ac:dyDescent="0.25">
      <c r="A48" s="80"/>
      <c r="D48" s="81" t="s">
        <v>19</v>
      </c>
      <c r="E48" s="81" t="s">
        <v>19</v>
      </c>
      <c r="G48" s="82">
        <v>0.63</v>
      </c>
      <c r="K48" s="61"/>
    </row>
    <row r="49" spans="1:76" x14ac:dyDescent="0.25">
      <c r="A49" s="75" t="s">
        <v>19</v>
      </c>
      <c r="B49" s="76" t="s">
        <v>18</v>
      </c>
      <c r="C49" s="76" t="s">
        <v>31</v>
      </c>
      <c r="D49" s="166" t="s">
        <v>32</v>
      </c>
      <c r="E49" s="167"/>
      <c r="F49" s="77" t="s">
        <v>3</v>
      </c>
      <c r="G49" s="77" t="s">
        <v>3</v>
      </c>
      <c r="H49" s="44" t="s">
        <v>3</v>
      </c>
      <c r="I49" s="37">
        <f>SUM(I50:I50)</f>
        <v>0</v>
      </c>
      <c r="K49" s="61"/>
      <c r="AI49" s="59" t="s">
        <v>18</v>
      </c>
      <c r="AS49" s="51">
        <f>SUM(AJ50:AJ50)</f>
        <v>0</v>
      </c>
      <c r="AT49" s="51">
        <f>SUM(AK50:AK50)</f>
        <v>0</v>
      </c>
      <c r="AU49" s="51">
        <f>SUM(AL50:AL50)</f>
        <v>0</v>
      </c>
    </row>
    <row r="50" spans="1:76" x14ac:dyDescent="0.25">
      <c r="A50" s="78" t="s">
        <v>178</v>
      </c>
      <c r="B50" s="79" t="s">
        <v>18</v>
      </c>
      <c r="C50" s="79" t="s">
        <v>179</v>
      </c>
      <c r="D50" s="170" t="s">
        <v>180</v>
      </c>
      <c r="E50" s="171"/>
      <c r="F50" s="79" t="s">
        <v>170</v>
      </c>
      <c r="G50" s="62">
        <v>0.63</v>
      </c>
      <c r="H50" s="45">
        <v>0</v>
      </c>
      <c r="I50" s="45">
        <f>ROUND(G50*H50,2)</f>
        <v>0</v>
      </c>
      <c r="K50" s="61"/>
      <c r="Z50" s="62">
        <f>ROUND(IF(AQ50="5",BJ50,0),2)</f>
        <v>0</v>
      </c>
      <c r="AB50" s="62">
        <f>ROUND(IF(AQ50="1",BH50,0),2)</f>
        <v>0</v>
      </c>
      <c r="AC50" s="62">
        <f>ROUND(IF(AQ50="1",BI50,0),2)</f>
        <v>0</v>
      </c>
      <c r="AD50" s="62">
        <f>ROUND(IF(AQ50="7",BH50,0),2)</f>
        <v>0</v>
      </c>
      <c r="AE50" s="62">
        <f>ROUND(IF(AQ50="7",BI50,0),2)</f>
        <v>0</v>
      </c>
      <c r="AF50" s="62">
        <f>ROUND(IF(AQ50="2",BH50,0),2)</f>
        <v>0</v>
      </c>
      <c r="AG50" s="62">
        <f>ROUND(IF(AQ50="2",BI50,0),2)</f>
        <v>0</v>
      </c>
      <c r="AH50" s="62">
        <f>ROUND(IF(AQ50="0",BJ50,0),2)</f>
        <v>0</v>
      </c>
      <c r="AI50" s="59" t="s">
        <v>18</v>
      </c>
      <c r="AJ50" s="62">
        <f>IF(AN50=0,I50,0)</f>
        <v>0</v>
      </c>
      <c r="AK50" s="62">
        <f>IF(AN50=12,I50,0)</f>
        <v>0</v>
      </c>
      <c r="AL50" s="62">
        <f>IF(AN50=21,I50,0)</f>
        <v>0</v>
      </c>
      <c r="AN50" s="62">
        <v>21</v>
      </c>
      <c r="AO50" s="62">
        <f>H50*0</f>
        <v>0</v>
      </c>
      <c r="AP50" s="62">
        <f>H50*(1-0)</f>
        <v>0</v>
      </c>
      <c r="AQ50" s="63" t="s">
        <v>133</v>
      </c>
      <c r="AV50" s="62">
        <f>ROUND(AW50+AX50,2)</f>
        <v>0</v>
      </c>
      <c r="AW50" s="62">
        <f>ROUND(G50*AO50,2)</f>
        <v>0</v>
      </c>
      <c r="AX50" s="62">
        <f>ROUND(G50*AP50,2)</f>
        <v>0</v>
      </c>
      <c r="AY50" s="63" t="s">
        <v>181</v>
      </c>
      <c r="AZ50" s="63" t="s">
        <v>138</v>
      </c>
      <c r="BA50" s="59" t="s">
        <v>139</v>
      </c>
      <c r="BC50" s="62">
        <f>AW50+AX50</f>
        <v>0</v>
      </c>
      <c r="BD50" s="62">
        <f>H50/(100-BE50)*100</f>
        <v>0</v>
      </c>
      <c r="BE50" s="62">
        <v>0</v>
      </c>
      <c r="BF50" s="62">
        <f>50</f>
        <v>50</v>
      </c>
      <c r="BH50" s="62">
        <f>G50*AO50</f>
        <v>0</v>
      </c>
      <c r="BI50" s="62">
        <f>G50*AP50</f>
        <v>0</v>
      </c>
      <c r="BJ50" s="62">
        <f>G50*H50</f>
        <v>0</v>
      </c>
      <c r="BK50" s="62"/>
      <c r="BL50" s="62">
        <v>17</v>
      </c>
      <c r="BW50" s="62">
        <v>21</v>
      </c>
      <c r="BX50" s="64" t="s">
        <v>180</v>
      </c>
    </row>
    <row r="51" spans="1:76" x14ac:dyDescent="0.25">
      <c r="A51" s="80"/>
      <c r="D51" s="81" t="s">
        <v>19</v>
      </c>
      <c r="E51" s="81" t="s">
        <v>19</v>
      </c>
      <c r="G51" s="82">
        <v>0.63</v>
      </c>
      <c r="K51" s="61"/>
    </row>
    <row r="52" spans="1:76" x14ac:dyDescent="0.25">
      <c r="A52" s="75" t="s">
        <v>19</v>
      </c>
      <c r="B52" s="76" t="s">
        <v>18</v>
      </c>
      <c r="C52" s="76" t="s">
        <v>33</v>
      </c>
      <c r="D52" s="166" t="s">
        <v>34</v>
      </c>
      <c r="E52" s="167"/>
      <c r="F52" s="77" t="s">
        <v>3</v>
      </c>
      <c r="G52" s="77" t="s">
        <v>3</v>
      </c>
      <c r="H52" s="44" t="s">
        <v>3</v>
      </c>
      <c r="I52" s="37">
        <f>SUM(I53:I53)</f>
        <v>0</v>
      </c>
      <c r="K52" s="61"/>
      <c r="AI52" s="59" t="s">
        <v>18</v>
      </c>
      <c r="AS52" s="51">
        <f>SUM(AJ53:AJ53)</f>
        <v>0</v>
      </c>
      <c r="AT52" s="51">
        <f>SUM(AK53:AK53)</f>
        <v>0</v>
      </c>
      <c r="AU52" s="51">
        <f>SUM(AL53:AL53)</f>
        <v>0</v>
      </c>
    </row>
    <row r="53" spans="1:76" x14ac:dyDescent="0.25">
      <c r="A53" s="78" t="s">
        <v>25</v>
      </c>
      <c r="B53" s="79" t="s">
        <v>18</v>
      </c>
      <c r="C53" s="79" t="s">
        <v>182</v>
      </c>
      <c r="D53" s="170" t="s">
        <v>183</v>
      </c>
      <c r="E53" s="171"/>
      <c r="F53" s="79" t="s">
        <v>155</v>
      </c>
      <c r="G53" s="62">
        <v>2.1</v>
      </c>
      <c r="H53" s="45">
        <v>0</v>
      </c>
      <c r="I53" s="45">
        <f>ROUND(G53*H53,2)</f>
        <v>0</v>
      </c>
      <c r="K53" s="61"/>
      <c r="Z53" s="62">
        <f>ROUND(IF(AQ53="5",BJ53,0),2)</f>
        <v>0</v>
      </c>
      <c r="AB53" s="62">
        <f>ROUND(IF(AQ53="1",BH53,0),2)</f>
        <v>0</v>
      </c>
      <c r="AC53" s="62">
        <f>ROUND(IF(AQ53="1",BI53,0),2)</f>
        <v>0</v>
      </c>
      <c r="AD53" s="62">
        <f>ROUND(IF(AQ53="7",BH53,0),2)</f>
        <v>0</v>
      </c>
      <c r="AE53" s="62">
        <f>ROUND(IF(AQ53="7",BI53,0),2)</f>
        <v>0</v>
      </c>
      <c r="AF53" s="62">
        <f>ROUND(IF(AQ53="2",BH53,0),2)</f>
        <v>0</v>
      </c>
      <c r="AG53" s="62">
        <f>ROUND(IF(AQ53="2",BI53,0),2)</f>
        <v>0</v>
      </c>
      <c r="AH53" s="62">
        <f>ROUND(IF(AQ53="0",BJ53,0),2)</f>
        <v>0</v>
      </c>
      <c r="AI53" s="59" t="s">
        <v>18</v>
      </c>
      <c r="AJ53" s="62">
        <f>IF(AN53=0,I53,0)</f>
        <v>0</v>
      </c>
      <c r="AK53" s="62">
        <f>IF(AN53=12,I53,0)</f>
        <v>0</v>
      </c>
      <c r="AL53" s="62">
        <f>IF(AN53=21,I53,0)</f>
        <v>0</v>
      </c>
      <c r="AN53" s="62">
        <v>21</v>
      </c>
      <c r="AO53" s="62">
        <f>H53*0.623169778</f>
        <v>0</v>
      </c>
      <c r="AP53" s="62">
        <f>H53*(1-0.623169778)</f>
        <v>0</v>
      </c>
      <c r="AQ53" s="63" t="s">
        <v>133</v>
      </c>
      <c r="AV53" s="62">
        <f>ROUND(AW53+AX53,2)</f>
        <v>0</v>
      </c>
      <c r="AW53" s="62">
        <f>ROUND(G53*AO53,2)</f>
        <v>0</v>
      </c>
      <c r="AX53" s="62">
        <f>ROUND(G53*AP53,2)</f>
        <v>0</v>
      </c>
      <c r="AY53" s="63" t="s">
        <v>185</v>
      </c>
      <c r="AZ53" s="63" t="s">
        <v>186</v>
      </c>
      <c r="BA53" s="59" t="s">
        <v>139</v>
      </c>
      <c r="BC53" s="62">
        <f>AW53+AX53</f>
        <v>0</v>
      </c>
      <c r="BD53" s="62">
        <f>H53/(100-BE53)*100</f>
        <v>0</v>
      </c>
      <c r="BE53" s="62">
        <v>0</v>
      </c>
      <c r="BF53" s="62">
        <f>53</f>
        <v>53</v>
      </c>
      <c r="BH53" s="62">
        <f>G53*AO53</f>
        <v>0</v>
      </c>
      <c r="BI53" s="62">
        <f>G53*AP53</f>
        <v>0</v>
      </c>
      <c r="BJ53" s="62">
        <f>G53*H53</f>
        <v>0</v>
      </c>
      <c r="BK53" s="62"/>
      <c r="BL53" s="62">
        <v>45</v>
      </c>
      <c r="BW53" s="62">
        <v>21</v>
      </c>
      <c r="BX53" s="64" t="s">
        <v>183</v>
      </c>
    </row>
    <row r="54" spans="1:76" x14ac:dyDescent="0.25">
      <c r="A54" s="80"/>
      <c r="D54" s="81" t="s">
        <v>19</v>
      </c>
      <c r="E54" s="81" t="s">
        <v>19</v>
      </c>
      <c r="G54" s="82">
        <v>2.1</v>
      </c>
      <c r="K54" s="61"/>
    </row>
    <row r="55" spans="1:76" x14ac:dyDescent="0.25">
      <c r="A55" s="80"/>
      <c r="D55" s="81" t="s">
        <v>187</v>
      </c>
      <c r="E55" s="81" t="s">
        <v>19</v>
      </c>
      <c r="G55" s="82">
        <v>0</v>
      </c>
      <c r="K55" s="61"/>
    </row>
    <row r="56" spans="1:76" x14ac:dyDescent="0.25">
      <c r="A56" s="80"/>
      <c r="D56" s="81" t="s">
        <v>166</v>
      </c>
      <c r="E56" s="81" t="s">
        <v>19</v>
      </c>
      <c r="G56" s="82">
        <v>2.1</v>
      </c>
      <c r="K56" s="61"/>
    </row>
    <row r="57" spans="1:76" x14ac:dyDescent="0.25">
      <c r="A57" s="80"/>
      <c r="D57" s="81" t="s">
        <v>19</v>
      </c>
      <c r="E57" s="81" t="s">
        <v>19</v>
      </c>
      <c r="G57" s="82">
        <v>2.1</v>
      </c>
      <c r="K57" s="61"/>
    </row>
    <row r="58" spans="1:76" x14ac:dyDescent="0.25">
      <c r="A58" s="75" t="s">
        <v>19</v>
      </c>
      <c r="B58" s="76" t="s">
        <v>18</v>
      </c>
      <c r="C58" s="76" t="s">
        <v>35</v>
      </c>
      <c r="D58" s="166" t="s">
        <v>36</v>
      </c>
      <c r="E58" s="167"/>
      <c r="F58" s="77" t="s">
        <v>3</v>
      </c>
      <c r="G58" s="77" t="s">
        <v>3</v>
      </c>
      <c r="H58" s="44" t="s">
        <v>3</v>
      </c>
      <c r="I58" s="37">
        <f>SUM(I59:I69)</f>
        <v>0</v>
      </c>
      <c r="K58" s="61"/>
      <c r="AI58" s="59" t="s">
        <v>18</v>
      </c>
      <c r="AS58" s="51">
        <f>SUM(AJ59:AJ69)</f>
        <v>0</v>
      </c>
      <c r="AT58" s="51">
        <f>SUM(AK59:AK69)</f>
        <v>0</v>
      </c>
      <c r="AU58" s="51">
        <f>SUM(AL59:AL69)</f>
        <v>0</v>
      </c>
    </row>
    <row r="59" spans="1:76" ht="25.5" x14ac:dyDescent="0.25">
      <c r="A59" s="78" t="s">
        <v>188</v>
      </c>
      <c r="B59" s="79" t="s">
        <v>18</v>
      </c>
      <c r="C59" s="79" t="s">
        <v>189</v>
      </c>
      <c r="D59" s="170" t="s">
        <v>190</v>
      </c>
      <c r="E59" s="171"/>
      <c r="F59" s="79" t="s">
        <v>155</v>
      </c>
      <c r="G59" s="62">
        <v>1846.6</v>
      </c>
      <c r="H59" s="45">
        <v>0</v>
      </c>
      <c r="I59" s="45">
        <f>ROUND(G59*H59,2)</f>
        <v>0</v>
      </c>
      <c r="K59" s="61"/>
      <c r="Z59" s="62">
        <f>ROUND(IF(AQ59="5",BJ59,0),2)</f>
        <v>0</v>
      </c>
      <c r="AB59" s="62">
        <f>ROUND(IF(AQ59="1",BH59,0),2)</f>
        <v>0</v>
      </c>
      <c r="AC59" s="62">
        <f>ROUND(IF(AQ59="1",BI59,0),2)</f>
        <v>0</v>
      </c>
      <c r="AD59" s="62">
        <f>ROUND(IF(AQ59="7",BH59,0),2)</f>
        <v>0</v>
      </c>
      <c r="AE59" s="62">
        <f>ROUND(IF(AQ59="7",BI59,0),2)</f>
        <v>0</v>
      </c>
      <c r="AF59" s="62">
        <f>ROUND(IF(AQ59="2",BH59,0),2)</f>
        <v>0</v>
      </c>
      <c r="AG59" s="62">
        <f>ROUND(IF(AQ59="2",BI59,0),2)</f>
        <v>0</v>
      </c>
      <c r="AH59" s="62">
        <f>ROUND(IF(AQ59="0",BJ59,0),2)</f>
        <v>0</v>
      </c>
      <c r="AI59" s="59" t="s">
        <v>18</v>
      </c>
      <c r="AJ59" s="62">
        <f>IF(AN59=0,I59,0)</f>
        <v>0</v>
      </c>
      <c r="AK59" s="62">
        <f>IF(AN59=12,I59,0)</f>
        <v>0</v>
      </c>
      <c r="AL59" s="62">
        <f>IF(AN59=21,I59,0)</f>
        <v>0</v>
      </c>
      <c r="AN59" s="62">
        <v>21</v>
      </c>
      <c r="AO59" s="62">
        <f>H59*0.900000069</f>
        <v>0</v>
      </c>
      <c r="AP59" s="62">
        <f>H59*(1-0.900000069)</f>
        <v>0</v>
      </c>
      <c r="AQ59" s="63" t="s">
        <v>133</v>
      </c>
      <c r="AV59" s="62">
        <f>ROUND(AW59+AX59,2)</f>
        <v>0</v>
      </c>
      <c r="AW59" s="62">
        <f>ROUND(G59*AO59,2)</f>
        <v>0</v>
      </c>
      <c r="AX59" s="62">
        <f>ROUND(G59*AP59,2)</f>
        <v>0</v>
      </c>
      <c r="AY59" s="63" t="s">
        <v>191</v>
      </c>
      <c r="AZ59" s="63" t="s">
        <v>192</v>
      </c>
      <c r="BA59" s="59" t="s">
        <v>139</v>
      </c>
      <c r="BC59" s="62">
        <f>AW59+AX59</f>
        <v>0</v>
      </c>
      <c r="BD59" s="62">
        <f>H59/(100-BE59)*100</f>
        <v>0</v>
      </c>
      <c r="BE59" s="62">
        <v>0</v>
      </c>
      <c r="BF59" s="62">
        <f>59</f>
        <v>59</v>
      </c>
      <c r="BH59" s="62">
        <f>G59*AO59</f>
        <v>0</v>
      </c>
      <c r="BI59" s="62">
        <f>G59*AP59</f>
        <v>0</v>
      </c>
      <c r="BJ59" s="62">
        <f>G59*H59</f>
        <v>0</v>
      </c>
      <c r="BK59" s="62"/>
      <c r="BL59" s="62">
        <v>57</v>
      </c>
      <c r="BW59" s="62">
        <v>21</v>
      </c>
      <c r="BX59" s="64" t="s">
        <v>190</v>
      </c>
    </row>
    <row r="60" spans="1:76" x14ac:dyDescent="0.25">
      <c r="A60" s="80"/>
      <c r="D60" s="81" t="s">
        <v>19</v>
      </c>
      <c r="E60" s="81" t="s">
        <v>19</v>
      </c>
      <c r="G60" s="82">
        <v>1846.6</v>
      </c>
      <c r="K60" s="61"/>
    </row>
    <row r="61" spans="1:76" x14ac:dyDescent="0.25">
      <c r="A61" s="80"/>
      <c r="D61" s="81" t="s">
        <v>193</v>
      </c>
      <c r="E61" s="81" t="s">
        <v>19</v>
      </c>
      <c r="G61" s="82">
        <v>1846.6</v>
      </c>
      <c r="K61" s="61"/>
    </row>
    <row r="62" spans="1:76" x14ac:dyDescent="0.25">
      <c r="A62" s="80"/>
      <c r="D62" s="81" t="s">
        <v>19</v>
      </c>
      <c r="E62" s="81" t="s">
        <v>19</v>
      </c>
      <c r="G62" s="82">
        <v>1846.6</v>
      </c>
      <c r="K62" s="61"/>
    </row>
    <row r="63" spans="1:76" x14ac:dyDescent="0.25">
      <c r="A63" s="78" t="s">
        <v>27</v>
      </c>
      <c r="B63" s="79" t="s">
        <v>18</v>
      </c>
      <c r="C63" s="79" t="s">
        <v>194</v>
      </c>
      <c r="D63" s="170" t="s">
        <v>195</v>
      </c>
      <c r="E63" s="171"/>
      <c r="F63" s="79" t="s">
        <v>196</v>
      </c>
      <c r="G63" s="62">
        <v>156.96100000000001</v>
      </c>
      <c r="H63" s="45">
        <v>0</v>
      </c>
      <c r="I63" s="45">
        <f>ROUND(G63*H63,2)</f>
        <v>0</v>
      </c>
      <c r="K63" s="61"/>
      <c r="Z63" s="62">
        <f>ROUND(IF(AQ63="5",BJ63,0),2)</f>
        <v>0</v>
      </c>
      <c r="AB63" s="62">
        <f>ROUND(IF(AQ63="1",BH63,0),2)</f>
        <v>0</v>
      </c>
      <c r="AC63" s="62">
        <f>ROUND(IF(AQ63="1",BI63,0),2)</f>
        <v>0</v>
      </c>
      <c r="AD63" s="62">
        <f>ROUND(IF(AQ63="7",BH63,0),2)</f>
        <v>0</v>
      </c>
      <c r="AE63" s="62">
        <f>ROUND(IF(AQ63="7",BI63,0),2)</f>
        <v>0</v>
      </c>
      <c r="AF63" s="62">
        <f>ROUND(IF(AQ63="2",BH63,0),2)</f>
        <v>0</v>
      </c>
      <c r="AG63" s="62">
        <f>ROUND(IF(AQ63="2",BI63,0),2)</f>
        <v>0</v>
      </c>
      <c r="AH63" s="62">
        <f>ROUND(IF(AQ63="0",BJ63,0),2)</f>
        <v>0</v>
      </c>
      <c r="AI63" s="59" t="s">
        <v>18</v>
      </c>
      <c r="AJ63" s="62">
        <f>IF(AN63=0,I63,0)</f>
        <v>0</v>
      </c>
      <c r="AK63" s="62">
        <f>IF(AN63=12,I63,0)</f>
        <v>0</v>
      </c>
      <c r="AL63" s="62">
        <f>IF(AN63=21,I63,0)</f>
        <v>0</v>
      </c>
      <c r="AN63" s="62">
        <v>21</v>
      </c>
      <c r="AO63" s="62">
        <f>H63*0.914890036</f>
        <v>0</v>
      </c>
      <c r="AP63" s="62">
        <f>H63*(1-0.914890036)</f>
        <v>0</v>
      </c>
      <c r="AQ63" s="63" t="s">
        <v>133</v>
      </c>
      <c r="AV63" s="62">
        <f>ROUND(AW63+AX63,2)</f>
        <v>0</v>
      </c>
      <c r="AW63" s="62">
        <f>ROUND(G63*AO63,2)</f>
        <v>0</v>
      </c>
      <c r="AX63" s="62">
        <f>ROUND(G63*AP63,2)</f>
        <v>0</v>
      </c>
      <c r="AY63" s="63" t="s">
        <v>191</v>
      </c>
      <c r="AZ63" s="63" t="s">
        <v>192</v>
      </c>
      <c r="BA63" s="59" t="s">
        <v>139</v>
      </c>
      <c r="BC63" s="62">
        <f>AW63+AX63</f>
        <v>0</v>
      </c>
      <c r="BD63" s="62">
        <f>H63/(100-BE63)*100</f>
        <v>0</v>
      </c>
      <c r="BE63" s="62">
        <v>0</v>
      </c>
      <c r="BF63" s="62">
        <f>63</f>
        <v>63</v>
      </c>
      <c r="BH63" s="62">
        <f>G63*AO63</f>
        <v>0</v>
      </c>
      <c r="BI63" s="62">
        <f>G63*AP63</f>
        <v>0</v>
      </c>
      <c r="BJ63" s="62">
        <f>G63*H63</f>
        <v>0</v>
      </c>
      <c r="BK63" s="62"/>
      <c r="BL63" s="62">
        <v>57</v>
      </c>
      <c r="BW63" s="62">
        <v>21</v>
      </c>
      <c r="BX63" s="64" t="s">
        <v>195</v>
      </c>
    </row>
    <row r="64" spans="1:76" x14ac:dyDescent="0.25">
      <c r="A64" s="80"/>
      <c r="D64" s="81" t="s">
        <v>19</v>
      </c>
      <c r="E64" s="81" t="s">
        <v>19</v>
      </c>
      <c r="G64" s="82">
        <v>55.398000000000003</v>
      </c>
      <c r="K64" s="61"/>
    </row>
    <row r="65" spans="1:76" x14ac:dyDescent="0.25">
      <c r="A65" s="80"/>
      <c r="D65" s="81" t="s">
        <v>197</v>
      </c>
      <c r="E65" s="81" t="s">
        <v>19</v>
      </c>
      <c r="G65" s="82">
        <v>46.164999999999999</v>
      </c>
      <c r="K65" s="61"/>
    </row>
    <row r="66" spans="1:76" x14ac:dyDescent="0.25">
      <c r="A66" s="80"/>
      <c r="D66" s="81" t="s">
        <v>19</v>
      </c>
      <c r="E66" s="81" t="s">
        <v>19</v>
      </c>
      <c r="G66" s="82">
        <v>55.398000000000003</v>
      </c>
      <c r="K66" s="61"/>
    </row>
    <row r="67" spans="1:76" x14ac:dyDescent="0.25">
      <c r="A67" s="78" t="s">
        <v>198</v>
      </c>
      <c r="B67" s="79" t="s">
        <v>18</v>
      </c>
      <c r="C67" s="79" t="s">
        <v>199</v>
      </c>
      <c r="D67" s="170" t="s">
        <v>200</v>
      </c>
      <c r="E67" s="171"/>
      <c r="F67" s="79" t="s">
        <v>155</v>
      </c>
      <c r="G67" s="62">
        <v>923.3</v>
      </c>
      <c r="H67" s="45">
        <v>0</v>
      </c>
      <c r="I67" s="45">
        <f>ROUND(G67*H67,2)</f>
        <v>0</v>
      </c>
      <c r="K67" s="61"/>
      <c r="Z67" s="62">
        <f>ROUND(IF(AQ67="5",BJ67,0),2)</f>
        <v>0</v>
      </c>
      <c r="AB67" s="62">
        <f>ROUND(IF(AQ67="1",BH67,0),2)</f>
        <v>0</v>
      </c>
      <c r="AC67" s="62">
        <f>ROUND(IF(AQ67="1",BI67,0),2)</f>
        <v>0</v>
      </c>
      <c r="AD67" s="62">
        <f>ROUND(IF(AQ67="7",BH67,0),2)</f>
        <v>0</v>
      </c>
      <c r="AE67" s="62">
        <f>ROUND(IF(AQ67="7",BI67,0),2)</f>
        <v>0</v>
      </c>
      <c r="AF67" s="62">
        <f>ROUND(IF(AQ67="2",BH67,0),2)</f>
        <v>0</v>
      </c>
      <c r="AG67" s="62">
        <f>ROUND(IF(AQ67="2",BI67,0),2)</f>
        <v>0</v>
      </c>
      <c r="AH67" s="62">
        <f>ROUND(IF(AQ67="0",BJ67,0),2)</f>
        <v>0</v>
      </c>
      <c r="AI67" s="59" t="s">
        <v>18</v>
      </c>
      <c r="AJ67" s="62">
        <f>IF(AN67=0,I67,0)</f>
        <v>0</v>
      </c>
      <c r="AK67" s="62">
        <f>IF(AN67=12,I67,0)</f>
        <v>0</v>
      </c>
      <c r="AL67" s="62">
        <f>IF(AN67=21,I67,0)</f>
        <v>0</v>
      </c>
      <c r="AN67" s="62">
        <v>21</v>
      </c>
      <c r="AO67" s="62">
        <f>H67*0.763317933</f>
        <v>0</v>
      </c>
      <c r="AP67" s="62">
        <f>H67*(1-0.763317933)</f>
        <v>0</v>
      </c>
      <c r="AQ67" s="63" t="s">
        <v>133</v>
      </c>
      <c r="AV67" s="62">
        <f>ROUND(AW67+AX67,2)</f>
        <v>0</v>
      </c>
      <c r="AW67" s="62">
        <f>ROUND(G67*AO67,2)</f>
        <v>0</v>
      </c>
      <c r="AX67" s="62">
        <f>ROUND(G67*AP67,2)</f>
        <v>0</v>
      </c>
      <c r="AY67" s="63" t="s">
        <v>191</v>
      </c>
      <c r="AZ67" s="63" t="s">
        <v>192</v>
      </c>
      <c r="BA67" s="59" t="s">
        <v>139</v>
      </c>
      <c r="BC67" s="62">
        <f>AW67+AX67</f>
        <v>0</v>
      </c>
      <c r="BD67" s="62">
        <f>H67/(100-BE67)*100</f>
        <v>0</v>
      </c>
      <c r="BE67" s="62">
        <v>0</v>
      </c>
      <c r="BF67" s="62">
        <f>67</f>
        <v>67</v>
      </c>
      <c r="BH67" s="62">
        <f>G67*AO67</f>
        <v>0</v>
      </c>
      <c r="BI67" s="62">
        <f>G67*AP67</f>
        <v>0</v>
      </c>
      <c r="BJ67" s="62">
        <f>G67*H67</f>
        <v>0</v>
      </c>
      <c r="BK67" s="62"/>
      <c r="BL67" s="62">
        <v>57</v>
      </c>
      <c r="BW67" s="62">
        <v>21</v>
      </c>
      <c r="BX67" s="64" t="s">
        <v>200</v>
      </c>
    </row>
    <row r="68" spans="1:76" x14ac:dyDescent="0.25">
      <c r="A68" s="80"/>
      <c r="D68" s="164" t="s">
        <v>236</v>
      </c>
      <c r="E68" s="164"/>
      <c r="G68" s="82">
        <v>923.3</v>
      </c>
      <c r="K68" s="61"/>
    </row>
    <row r="69" spans="1:76" x14ac:dyDescent="0.25">
      <c r="A69" s="78" t="s">
        <v>201</v>
      </c>
      <c r="B69" s="79" t="s">
        <v>18</v>
      </c>
      <c r="C69" s="79" t="s">
        <v>202</v>
      </c>
      <c r="D69" s="170" t="s">
        <v>203</v>
      </c>
      <c r="E69" s="171"/>
      <c r="F69" s="79" t="s">
        <v>196</v>
      </c>
      <c r="G69" s="62">
        <v>1</v>
      </c>
      <c r="H69" s="45">
        <v>0</v>
      </c>
      <c r="I69" s="45">
        <f>ROUND(G69*H69,2)</f>
        <v>0</v>
      </c>
      <c r="K69" s="61"/>
      <c r="Z69" s="62">
        <f>ROUND(IF(AQ69="5",BJ69,0),2)</f>
        <v>0</v>
      </c>
      <c r="AB69" s="62">
        <f>ROUND(IF(AQ69="1",BH69,0),2)</f>
        <v>0</v>
      </c>
      <c r="AC69" s="62">
        <f>ROUND(IF(AQ69="1",BI69,0),2)</f>
        <v>0</v>
      </c>
      <c r="AD69" s="62">
        <f>ROUND(IF(AQ69="7",BH69,0),2)</f>
        <v>0</v>
      </c>
      <c r="AE69" s="62">
        <f>ROUND(IF(AQ69="7",BI69,0),2)</f>
        <v>0</v>
      </c>
      <c r="AF69" s="62">
        <f>ROUND(IF(AQ69="2",BH69,0),2)</f>
        <v>0</v>
      </c>
      <c r="AG69" s="62">
        <f>ROUND(IF(AQ69="2",BI69,0),2)</f>
        <v>0</v>
      </c>
      <c r="AH69" s="62">
        <f>ROUND(IF(AQ69="0",BJ69,0),2)</f>
        <v>0</v>
      </c>
      <c r="AI69" s="59" t="s">
        <v>18</v>
      </c>
      <c r="AJ69" s="62">
        <f>IF(AN69=0,I69,0)</f>
        <v>0</v>
      </c>
      <c r="AK69" s="62">
        <f>IF(AN69=12,I69,0)</f>
        <v>0</v>
      </c>
      <c r="AL69" s="62">
        <f>IF(AN69=21,I69,0)</f>
        <v>0</v>
      </c>
      <c r="AN69" s="62">
        <v>21</v>
      </c>
      <c r="AO69" s="62">
        <f>H69*0.300006042</f>
        <v>0</v>
      </c>
      <c r="AP69" s="62">
        <f>H69*(1-0.300006042)</f>
        <v>0</v>
      </c>
      <c r="AQ69" s="63" t="s">
        <v>133</v>
      </c>
      <c r="AV69" s="62">
        <f>ROUND(AW69+AX69,2)</f>
        <v>0</v>
      </c>
      <c r="AW69" s="62">
        <f>ROUND(G69*AO69,2)</f>
        <v>0</v>
      </c>
      <c r="AX69" s="62">
        <f>ROUND(G69*AP69,2)</f>
        <v>0</v>
      </c>
      <c r="AY69" s="63" t="s">
        <v>191</v>
      </c>
      <c r="AZ69" s="63" t="s">
        <v>192</v>
      </c>
      <c r="BA69" s="59" t="s">
        <v>139</v>
      </c>
      <c r="BC69" s="62">
        <f>AW69+AX69</f>
        <v>0</v>
      </c>
      <c r="BD69" s="62">
        <f>H69/(100-BE69)*100</f>
        <v>0</v>
      </c>
      <c r="BE69" s="62">
        <v>0</v>
      </c>
      <c r="BF69" s="62">
        <f>69</f>
        <v>69</v>
      </c>
      <c r="BH69" s="62">
        <f>G69*AO69</f>
        <v>0</v>
      </c>
      <c r="BI69" s="62">
        <f>G69*AP69</f>
        <v>0</v>
      </c>
      <c r="BJ69" s="62">
        <f>G69*H69</f>
        <v>0</v>
      </c>
      <c r="BK69" s="62"/>
      <c r="BL69" s="62">
        <v>57</v>
      </c>
      <c r="BW69" s="62">
        <v>21</v>
      </c>
      <c r="BX69" s="64" t="s">
        <v>203</v>
      </c>
    </row>
    <row r="70" spans="1:76" x14ac:dyDescent="0.25">
      <c r="A70" s="80"/>
      <c r="D70" s="81" t="s">
        <v>19</v>
      </c>
      <c r="E70" s="81" t="s">
        <v>19</v>
      </c>
      <c r="G70" s="82">
        <v>1</v>
      </c>
      <c r="K70" s="61"/>
    </row>
    <row r="71" spans="1:76" ht="21" customHeight="1" x14ac:dyDescent="0.25">
      <c r="A71" s="75" t="s">
        <v>19</v>
      </c>
      <c r="B71" s="76" t="s">
        <v>18</v>
      </c>
      <c r="C71" s="76" t="s">
        <v>37</v>
      </c>
      <c r="D71" s="166" t="s">
        <v>38</v>
      </c>
      <c r="E71" s="167"/>
      <c r="F71" s="77" t="s">
        <v>3</v>
      </c>
      <c r="G71" s="77" t="s">
        <v>3</v>
      </c>
      <c r="H71" s="44" t="s">
        <v>3</v>
      </c>
      <c r="I71" s="37">
        <f>SUM(I72:I76)</f>
        <v>0</v>
      </c>
      <c r="K71" s="61"/>
      <c r="AI71" s="59" t="s">
        <v>18</v>
      </c>
      <c r="AS71" s="51">
        <f>SUM(AJ72:AJ76)</f>
        <v>0</v>
      </c>
      <c r="AT71" s="51">
        <f>SUM(AK72:AK76)</f>
        <v>0</v>
      </c>
      <c r="AU71" s="51">
        <f>SUM(AL72:AL76)</f>
        <v>0</v>
      </c>
    </row>
    <row r="72" spans="1:76" x14ac:dyDescent="0.25">
      <c r="A72" s="78" t="s">
        <v>29</v>
      </c>
      <c r="B72" s="79" t="s">
        <v>18</v>
      </c>
      <c r="C72" s="79" t="s">
        <v>204</v>
      </c>
      <c r="D72" s="170" t="s">
        <v>205</v>
      </c>
      <c r="E72" s="171"/>
      <c r="F72" s="79" t="s">
        <v>184</v>
      </c>
      <c r="G72" s="62">
        <v>29.3</v>
      </c>
      <c r="H72" s="45">
        <v>0</v>
      </c>
      <c r="I72" s="45">
        <f>ROUND(G72*H72,2)</f>
        <v>0</v>
      </c>
      <c r="K72" s="61"/>
      <c r="Z72" s="62">
        <f>ROUND(IF(AQ72="5",BJ72,0),2)</f>
        <v>0</v>
      </c>
      <c r="AB72" s="62">
        <f>ROUND(IF(AQ72="1",BH72,0),2)</f>
        <v>0</v>
      </c>
      <c r="AC72" s="62">
        <f>ROUND(IF(AQ72="1",BI72,0),2)</f>
        <v>0</v>
      </c>
      <c r="AD72" s="62">
        <f>ROUND(IF(AQ72="7",BH72,0),2)</f>
        <v>0</v>
      </c>
      <c r="AE72" s="62">
        <f>ROUND(IF(AQ72="7",BI72,0),2)</f>
        <v>0</v>
      </c>
      <c r="AF72" s="62">
        <f>ROUND(IF(AQ72="2",BH72,0),2)</f>
        <v>0</v>
      </c>
      <c r="AG72" s="62">
        <f>ROUND(IF(AQ72="2",BI72,0),2)</f>
        <v>0</v>
      </c>
      <c r="AH72" s="62">
        <f>ROUND(IF(AQ72="0",BJ72,0),2)</f>
        <v>0</v>
      </c>
      <c r="AI72" s="59" t="s">
        <v>18</v>
      </c>
      <c r="AJ72" s="62">
        <f>IF(AN72=0,I72,0)</f>
        <v>0</v>
      </c>
      <c r="AK72" s="62">
        <f>IF(AN72=12,I72,0)</f>
        <v>0</v>
      </c>
      <c r="AL72" s="62">
        <f>IF(AN72=21,I72,0)</f>
        <v>0</v>
      </c>
      <c r="AN72" s="62">
        <v>21</v>
      </c>
      <c r="AO72" s="62">
        <f>H72*0.867146874</f>
        <v>0</v>
      </c>
      <c r="AP72" s="62">
        <f>H72*(1-0.867146874)</f>
        <v>0</v>
      </c>
      <c r="AQ72" s="63" t="s">
        <v>133</v>
      </c>
      <c r="AV72" s="62">
        <f>ROUND(AW72+AX72,2)</f>
        <v>0</v>
      </c>
      <c r="AW72" s="62">
        <f>ROUND(G72*AO72,2)</f>
        <v>0</v>
      </c>
      <c r="AX72" s="62">
        <f>ROUND(G72*AP72,2)</f>
        <v>0</v>
      </c>
      <c r="AY72" s="63" t="s">
        <v>206</v>
      </c>
      <c r="AZ72" s="63" t="s">
        <v>192</v>
      </c>
      <c r="BA72" s="59" t="s">
        <v>139</v>
      </c>
      <c r="BC72" s="62">
        <f>AW72+AX72</f>
        <v>0</v>
      </c>
      <c r="BD72" s="62">
        <f>H72/(100-BE72)*100</f>
        <v>0</v>
      </c>
      <c r="BE72" s="62">
        <v>0</v>
      </c>
      <c r="BF72" s="62">
        <f>72</f>
        <v>72</v>
      </c>
      <c r="BH72" s="62">
        <f>G72*AO72</f>
        <v>0</v>
      </c>
      <c r="BI72" s="62">
        <f>G72*AP72</f>
        <v>0</v>
      </c>
      <c r="BJ72" s="62">
        <f>G72*H72</f>
        <v>0</v>
      </c>
      <c r="BK72" s="62"/>
      <c r="BL72" s="62">
        <v>59</v>
      </c>
      <c r="BW72" s="62">
        <v>21</v>
      </c>
      <c r="BX72" s="64" t="s">
        <v>205</v>
      </c>
    </row>
    <row r="73" spans="1:76" x14ac:dyDescent="0.25">
      <c r="A73" s="80"/>
      <c r="D73" s="81" t="s">
        <v>19</v>
      </c>
      <c r="E73" s="81" t="s">
        <v>19</v>
      </c>
      <c r="G73" s="82">
        <v>29.3</v>
      </c>
      <c r="K73" s="61"/>
    </row>
    <row r="74" spans="1:76" x14ac:dyDescent="0.25">
      <c r="A74" s="80"/>
      <c r="D74" s="81" t="s">
        <v>207</v>
      </c>
      <c r="E74" s="81" t="s">
        <v>19</v>
      </c>
      <c r="G74" s="82">
        <v>29.3</v>
      </c>
      <c r="K74" s="61"/>
    </row>
    <row r="75" spans="1:76" x14ac:dyDescent="0.25">
      <c r="A75" s="80"/>
      <c r="D75" s="81" t="s">
        <v>19</v>
      </c>
      <c r="E75" s="81" t="s">
        <v>19</v>
      </c>
      <c r="G75" s="82">
        <v>29.3</v>
      </c>
      <c r="K75" s="61"/>
    </row>
    <row r="76" spans="1:76" x14ac:dyDescent="0.25">
      <c r="A76" s="78" t="s">
        <v>31</v>
      </c>
      <c r="B76" s="79" t="s">
        <v>18</v>
      </c>
      <c r="C76" s="79" t="s">
        <v>208</v>
      </c>
      <c r="D76" s="170" t="s">
        <v>209</v>
      </c>
      <c r="E76" s="171"/>
      <c r="F76" s="79" t="s">
        <v>210</v>
      </c>
      <c r="G76" s="62">
        <v>7</v>
      </c>
      <c r="H76" s="45">
        <v>0</v>
      </c>
      <c r="I76" s="45">
        <f>ROUND(G76*H76,2)</f>
        <v>0</v>
      </c>
      <c r="K76" s="61"/>
      <c r="Z76" s="62">
        <f>ROUND(IF(AQ76="5",BJ76,0),2)</f>
        <v>0</v>
      </c>
      <c r="AB76" s="62">
        <f>ROUND(IF(AQ76="1",BH76,0),2)</f>
        <v>0</v>
      </c>
      <c r="AC76" s="62">
        <f>ROUND(IF(AQ76="1",BI76,0),2)</f>
        <v>0</v>
      </c>
      <c r="AD76" s="62">
        <f>ROUND(IF(AQ76="7",BH76,0),2)</f>
        <v>0</v>
      </c>
      <c r="AE76" s="62">
        <f>ROUND(IF(AQ76="7",BI76,0),2)</f>
        <v>0</v>
      </c>
      <c r="AF76" s="62">
        <f>ROUND(IF(AQ76="2",BH76,0),2)</f>
        <v>0</v>
      </c>
      <c r="AG76" s="62">
        <f>ROUND(IF(AQ76="2",BI76,0),2)</f>
        <v>0</v>
      </c>
      <c r="AH76" s="62">
        <f>ROUND(IF(AQ76="0",BJ76,0),2)</f>
        <v>0</v>
      </c>
      <c r="AI76" s="59" t="s">
        <v>18</v>
      </c>
      <c r="AJ76" s="62">
        <f>IF(AN76=0,I76,0)</f>
        <v>0</v>
      </c>
      <c r="AK76" s="62">
        <f>IF(AN76=12,I76,0)</f>
        <v>0</v>
      </c>
      <c r="AL76" s="62">
        <f>IF(AN76=21,I76,0)</f>
        <v>0</v>
      </c>
      <c r="AN76" s="62">
        <v>21</v>
      </c>
      <c r="AO76" s="62">
        <f>H76*0.842373134</f>
        <v>0</v>
      </c>
      <c r="AP76" s="62">
        <f>H76*(1-0.842373134)</f>
        <v>0</v>
      </c>
      <c r="AQ76" s="63" t="s">
        <v>133</v>
      </c>
      <c r="AV76" s="62">
        <f>ROUND(AW76+AX76,2)</f>
        <v>0</v>
      </c>
      <c r="AW76" s="62">
        <f>ROUND(G76*AO76,2)</f>
        <v>0</v>
      </c>
      <c r="AX76" s="62">
        <f>ROUND(G76*AP76,2)</f>
        <v>0</v>
      </c>
      <c r="AY76" s="63" t="s">
        <v>206</v>
      </c>
      <c r="AZ76" s="63" t="s">
        <v>192</v>
      </c>
      <c r="BA76" s="59" t="s">
        <v>139</v>
      </c>
      <c r="BC76" s="62">
        <f>AW76+AX76</f>
        <v>0</v>
      </c>
      <c r="BD76" s="62">
        <f>H76/(100-BE76)*100</f>
        <v>0</v>
      </c>
      <c r="BE76" s="62">
        <v>0</v>
      </c>
      <c r="BF76" s="62">
        <f>76</f>
        <v>76</v>
      </c>
      <c r="BH76" s="62">
        <f>G76*AO76</f>
        <v>0</v>
      </c>
      <c r="BI76" s="62">
        <f>G76*AP76</f>
        <v>0</v>
      </c>
      <c r="BJ76" s="62">
        <f>G76*H76</f>
        <v>0</v>
      </c>
      <c r="BK76" s="62"/>
      <c r="BL76" s="62">
        <v>59</v>
      </c>
      <c r="BW76" s="62">
        <v>21</v>
      </c>
      <c r="BX76" s="64" t="s">
        <v>209</v>
      </c>
    </row>
    <row r="77" spans="1:76" x14ac:dyDescent="0.25">
      <c r="A77" s="80"/>
      <c r="D77" s="164" t="s">
        <v>237</v>
      </c>
      <c r="E77" s="164"/>
      <c r="G77" s="82">
        <v>0</v>
      </c>
      <c r="K77" s="61"/>
    </row>
    <row r="78" spans="1:76" x14ac:dyDescent="0.25">
      <c r="A78" s="80"/>
      <c r="D78" s="81" t="s">
        <v>162</v>
      </c>
      <c r="E78" s="81" t="s">
        <v>19</v>
      </c>
      <c r="G78" s="82">
        <v>7</v>
      </c>
      <c r="K78" s="61"/>
    </row>
    <row r="79" spans="1:76" x14ac:dyDescent="0.25">
      <c r="A79" s="75" t="s">
        <v>19</v>
      </c>
      <c r="B79" s="76" t="s">
        <v>18</v>
      </c>
      <c r="C79" s="76" t="s">
        <v>39</v>
      </c>
      <c r="D79" s="166" t="s">
        <v>40</v>
      </c>
      <c r="E79" s="167"/>
      <c r="F79" s="77" t="s">
        <v>3</v>
      </c>
      <c r="G79" s="77" t="s">
        <v>3</v>
      </c>
      <c r="H79" s="44" t="s">
        <v>3</v>
      </c>
      <c r="I79" s="37">
        <f>SUM(I80:I84)</f>
        <v>0</v>
      </c>
      <c r="K79" s="61"/>
      <c r="AI79" s="59" t="s">
        <v>18</v>
      </c>
      <c r="AS79" s="51">
        <f>SUM(AJ80:AJ84)</f>
        <v>0</v>
      </c>
      <c r="AT79" s="51">
        <f>SUM(AK80:AK84)</f>
        <v>0</v>
      </c>
      <c r="AU79" s="51">
        <f>SUM(AL80:AL84)</f>
        <v>0</v>
      </c>
    </row>
    <row r="80" spans="1:76" x14ac:dyDescent="0.25">
      <c r="A80" s="78" t="s">
        <v>211</v>
      </c>
      <c r="B80" s="79" t="s">
        <v>18</v>
      </c>
      <c r="C80" s="79" t="s">
        <v>212</v>
      </c>
      <c r="D80" s="170" t="s">
        <v>213</v>
      </c>
      <c r="E80" s="171"/>
      <c r="F80" s="79" t="s">
        <v>210</v>
      </c>
      <c r="G80" s="62">
        <v>1</v>
      </c>
      <c r="H80" s="45">
        <v>0</v>
      </c>
      <c r="I80" s="45">
        <f>ROUND(G80*H80,2)</f>
        <v>0</v>
      </c>
      <c r="K80" s="61"/>
      <c r="Z80" s="62">
        <f>ROUND(IF(AQ80="5",BJ80,0),2)</f>
        <v>0</v>
      </c>
      <c r="AB80" s="62">
        <f>ROUND(IF(AQ80="1",BH80,0),2)</f>
        <v>0</v>
      </c>
      <c r="AC80" s="62">
        <f>ROUND(IF(AQ80="1",BI80,0),2)</f>
        <v>0</v>
      </c>
      <c r="AD80" s="62">
        <f>ROUND(IF(AQ80="7",BH80,0),2)</f>
        <v>0</v>
      </c>
      <c r="AE80" s="62">
        <f>ROUND(IF(AQ80="7",BI80,0),2)</f>
        <v>0</v>
      </c>
      <c r="AF80" s="62">
        <f>ROUND(IF(AQ80="2",BH80,0),2)</f>
        <v>0</v>
      </c>
      <c r="AG80" s="62">
        <f>ROUND(IF(AQ80="2",BI80,0),2)</f>
        <v>0</v>
      </c>
      <c r="AH80" s="62">
        <f>ROUND(IF(AQ80="0",BJ80,0),2)</f>
        <v>0</v>
      </c>
      <c r="AI80" s="59" t="s">
        <v>18</v>
      </c>
      <c r="AJ80" s="62">
        <f>IF(AN80=0,I80,0)</f>
        <v>0</v>
      </c>
      <c r="AK80" s="62">
        <f>IF(AN80=12,I80,0)</f>
        <v>0</v>
      </c>
      <c r="AL80" s="62">
        <f>IF(AN80=21,I80,0)</f>
        <v>0</v>
      </c>
      <c r="AN80" s="62">
        <v>21</v>
      </c>
      <c r="AO80" s="62">
        <f>H80*0.471971363</f>
        <v>0</v>
      </c>
      <c r="AP80" s="62">
        <f>H80*(1-0.471971363)</f>
        <v>0</v>
      </c>
      <c r="AQ80" s="63" t="s">
        <v>133</v>
      </c>
      <c r="AV80" s="62">
        <f>ROUND(AW80+AX80,2)</f>
        <v>0</v>
      </c>
      <c r="AW80" s="62">
        <f>ROUND(G80*AO80,2)</f>
        <v>0</v>
      </c>
      <c r="AX80" s="62">
        <f>ROUND(G80*AP80,2)</f>
        <v>0</v>
      </c>
      <c r="AY80" s="63" t="s">
        <v>214</v>
      </c>
      <c r="AZ80" s="63" t="s">
        <v>215</v>
      </c>
      <c r="BA80" s="59" t="s">
        <v>139</v>
      </c>
      <c r="BC80" s="62">
        <f>AW80+AX80</f>
        <v>0</v>
      </c>
      <c r="BD80" s="62">
        <f>H80/(100-BE80)*100</f>
        <v>0</v>
      </c>
      <c r="BE80" s="62">
        <v>0</v>
      </c>
      <c r="BF80" s="62">
        <f>80</f>
        <v>80</v>
      </c>
      <c r="BH80" s="62">
        <f>G80*AO80</f>
        <v>0</v>
      </c>
      <c r="BI80" s="62">
        <f>G80*AP80</f>
        <v>0</v>
      </c>
      <c r="BJ80" s="62">
        <f>G80*H80</f>
        <v>0</v>
      </c>
      <c r="BK80" s="62"/>
      <c r="BL80" s="62">
        <v>89</v>
      </c>
      <c r="BW80" s="62">
        <v>21</v>
      </c>
      <c r="BX80" s="64" t="s">
        <v>213</v>
      </c>
    </row>
    <row r="81" spans="1:76" x14ac:dyDescent="0.25">
      <c r="A81" s="80"/>
      <c r="D81" s="81" t="s">
        <v>19</v>
      </c>
      <c r="E81" s="81" t="s">
        <v>19</v>
      </c>
      <c r="G81" s="82">
        <v>1</v>
      </c>
      <c r="K81" s="61"/>
    </row>
    <row r="82" spans="1:76" x14ac:dyDescent="0.25">
      <c r="A82" s="78" t="s">
        <v>216</v>
      </c>
      <c r="B82" s="79" t="s">
        <v>18</v>
      </c>
      <c r="C82" s="79" t="s">
        <v>217</v>
      </c>
      <c r="D82" s="170" t="s">
        <v>218</v>
      </c>
      <c r="E82" s="171"/>
      <c r="F82" s="79" t="s">
        <v>210</v>
      </c>
      <c r="G82" s="62">
        <v>2</v>
      </c>
      <c r="H82" s="45">
        <v>0</v>
      </c>
      <c r="I82" s="45">
        <f>ROUND(G82*H82,2)</f>
        <v>0</v>
      </c>
      <c r="K82" s="61"/>
      <c r="Z82" s="62">
        <f>ROUND(IF(AQ82="5",BJ82,0),2)</f>
        <v>0</v>
      </c>
      <c r="AB82" s="62">
        <f>ROUND(IF(AQ82="1",BH82,0),2)</f>
        <v>0</v>
      </c>
      <c r="AC82" s="62">
        <f>ROUND(IF(AQ82="1",BI82,0),2)</f>
        <v>0</v>
      </c>
      <c r="AD82" s="62">
        <f>ROUND(IF(AQ82="7",BH82,0),2)</f>
        <v>0</v>
      </c>
      <c r="AE82" s="62">
        <f>ROUND(IF(AQ82="7",BI82,0),2)</f>
        <v>0</v>
      </c>
      <c r="AF82" s="62">
        <f>ROUND(IF(AQ82="2",BH82,0),2)</f>
        <v>0</v>
      </c>
      <c r="AG82" s="62">
        <f>ROUND(IF(AQ82="2",BI82,0),2)</f>
        <v>0</v>
      </c>
      <c r="AH82" s="62">
        <f>ROUND(IF(AQ82="0",BJ82,0),2)</f>
        <v>0</v>
      </c>
      <c r="AI82" s="59" t="s">
        <v>18</v>
      </c>
      <c r="AJ82" s="62">
        <f>IF(AN82=0,I82,0)</f>
        <v>0</v>
      </c>
      <c r="AK82" s="62">
        <f>IF(AN82=12,I82,0)</f>
        <v>0</v>
      </c>
      <c r="AL82" s="62">
        <f>IF(AN82=21,I82,0)</f>
        <v>0</v>
      </c>
      <c r="AN82" s="62">
        <v>21</v>
      </c>
      <c r="AO82" s="62">
        <f>H82*0.3184608</f>
        <v>0</v>
      </c>
      <c r="AP82" s="62">
        <f>H82*(1-0.3184608)</f>
        <v>0</v>
      </c>
      <c r="AQ82" s="63" t="s">
        <v>133</v>
      </c>
      <c r="AV82" s="62">
        <f>ROUND(AW82+AX82,2)</f>
        <v>0</v>
      </c>
      <c r="AW82" s="62">
        <f>ROUND(G82*AO82,2)</f>
        <v>0</v>
      </c>
      <c r="AX82" s="62">
        <f>ROUND(G82*AP82,2)</f>
        <v>0</v>
      </c>
      <c r="AY82" s="63" t="s">
        <v>214</v>
      </c>
      <c r="AZ82" s="63" t="s">
        <v>215</v>
      </c>
      <c r="BA82" s="59" t="s">
        <v>139</v>
      </c>
      <c r="BC82" s="62">
        <f>AW82+AX82</f>
        <v>0</v>
      </c>
      <c r="BD82" s="62">
        <f>H82/(100-BE82)*100</f>
        <v>0</v>
      </c>
      <c r="BE82" s="62">
        <v>0</v>
      </c>
      <c r="BF82" s="62">
        <f>82</f>
        <v>82</v>
      </c>
      <c r="BH82" s="62">
        <f>G82*AO82</f>
        <v>0</v>
      </c>
      <c r="BI82" s="62">
        <f>G82*AP82</f>
        <v>0</v>
      </c>
      <c r="BJ82" s="62">
        <f>G82*H82</f>
        <v>0</v>
      </c>
      <c r="BK82" s="62"/>
      <c r="BL82" s="62">
        <v>89</v>
      </c>
      <c r="BW82" s="62">
        <v>21</v>
      </c>
      <c r="BX82" s="64" t="s">
        <v>218</v>
      </c>
    </row>
    <row r="83" spans="1:76" x14ac:dyDescent="0.25">
      <c r="A83" s="80"/>
      <c r="D83" s="81" t="s">
        <v>19</v>
      </c>
      <c r="E83" s="81" t="s">
        <v>19</v>
      </c>
      <c r="G83" s="82">
        <v>2</v>
      </c>
      <c r="K83" s="61"/>
    </row>
    <row r="84" spans="1:76" x14ac:dyDescent="0.25">
      <c r="A84" s="78" t="s">
        <v>219</v>
      </c>
      <c r="B84" s="79" t="s">
        <v>18</v>
      </c>
      <c r="C84" s="79" t="s">
        <v>220</v>
      </c>
      <c r="D84" s="170" t="s">
        <v>221</v>
      </c>
      <c r="E84" s="171"/>
      <c r="F84" s="79" t="s">
        <v>210</v>
      </c>
      <c r="G84" s="62">
        <v>2</v>
      </c>
      <c r="H84" s="45">
        <v>0</v>
      </c>
      <c r="I84" s="45">
        <f>ROUND(G84*H84,2)</f>
        <v>0</v>
      </c>
      <c r="K84" s="61"/>
      <c r="Z84" s="62">
        <f>ROUND(IF(AQ84="5",BJ84,0),2)</f>
        <v>0</v>
      </c>
      <c r="AB84" s="62">
        <f>ROUND(IF(AQ84="1",BH84,0),2)</f>
        <v>0</v>
      </c>
      <c r="AC84" s="62">
        <f>ROUND(IF(AQ84="1",BI84,0),2)</f>
        <v>0</v>
      </c>
      <c r="AD84" s="62">
        <f>ROUND(IF(AQ84="7",BH84,0),2)</f>
        <v>0</v>
      </c>
      <c r="AE84" s="62">
        <f>ROUND(IF(AQ84="7",BI84,0),2)</f>
        <v>0</v>
      </c>
      <c r="AF84" s="62">
        <f>ROUND(IF(AQ84="2",BH84,0),2)</f>
        <v>0</v>
      </c>
      <c r="AG84" s="62">
        <f>ROUND(IF(AQ84="2",BI84,0),2)</f>
        <v>0</v>
      </c>
      <c r="AH84" s="62">
        <f>ROUND(IF(AQ84="0",BJ84,0),2)</f>
        <v>0</v>
      </c>
      <c r="AI84" s="59" t="s">
        <v>18</v>
      </c>
      <c r="AJ84" s="62">
        <f>IF(AN84=0,I84,0)</f>
        <v>0</v>
      </c>
      <c r="AK84" s="62">
        <f>IF(AN84=12,I84,0)</f>
        <v>0</v>
      </c>
      <c r="AL84" s="62">
        <f>IF(AN84=21,I84,0)</f>
        <v>0</v>
      </c>
      <c r="AN84" s="62">
        <v>21</v>
      </c>
      <c r="AO84" s="62">
        <f>H84*0.338885802</f>
        <v>0</v>
      </c>
      <c r="AP84" s="62">
        <f>H84*(1-0.338885802)</f>
        <v>0</v>
      </c>
      <c r="AQ84" s="63" t="s">
        <v>133</v>
      </c>
      <c r="AV84" s="62">
        <f>ROUND(AW84+AX84,2)</f>
        <v>0</v>
      </c>
      <c r="AW84" s="62">
        <f>ROUND(G84*AO84,2)</f>
        <v>0</v>
      </c>
      <c r="AX84" s="62">
        <f>ROUND(G84*AP84,2)</f>
        <v>0</v>
      </c>
      <c r="AY84" s="63" t="s">
        <v>214</v>
      </c>
      <c r="AZ84" s="63" t="s">
        <v>215</v>
      </c>
      <c r="BA84" s="59" t="s">
        <v>139</v>
      </c>
      <c r="BC84" s="62">
        <f>AW84+AX84</f>
        <v>0</v>
      </c>
      <c r="BD84" s="62">
        <f>H84/(100-BE84)*100</f>
        <v>0</v>
      </c>
      <c r="BE84" s="62">
        <v>0</v>
      </c>
      <c r="BF84" s="62">
        <f>84</f>
        <v>84</v>
      </c>
      <c r="BH84" s="62">
        <f>G84*AO84</f>
        <v>0</v>
      </c>
      <c r="BI84" s="62">
        <f>G84*AP84</f>
        <v>0</v>
      </c>
      <c r="BJ84" s="62">
        <f>G84*H84</f>
        <v>0</v>
      </c>
      <c r="BK84" s="62"/>
      <c r="BL84" s="62">
        <v>89</v>
      </c>
      <c r="BW84" s="62">
        <v>21</v>
      </c>
      <c r="BX84" s="64" t="s">
        <v>221</v>
      </c>
    </row>
    <row r="85" spans="1:76" x14ac:dyDescent="0.25">
      <c r="A85" s="80"/>
      <c r="D85" s="81" t="s">
        <v>19</v>
      </c>
      <c r="E85" s="81" t="s">
        <v>19</v>
      </c>
      <c r="G85" s="82">
        <v>2</v>
      </c>
      <c r="K85" s="61"/>
    </row>
    <row r="86" spans="1:76" x14ac:dyDescent="0.25">
      <c r="A86" s="75" t="s">
        <v>19</v>
      </c>
      <c r="B86" s="76" t="s">
        <v>18</v>
      </c>
      <c r="C86" s="76" t="s">
        <v>41</v>
      </c>
      <c r="D86" s="166" t="s">
        <v>42</v>
      </c>
      <c r="E86" s="167"/>
      <c r="F86" s="77" t="s">
        <v>3</v>
      </c>
      <c r="G86" s="77" t="s">
        <v>3</v>
      </c>
      <c r="H86" s="44" t="s">
        <v>3</v>
      </c>
      <c r="I86" s="37">
        <f>SUM(I87:I87)</f>
        <v>0</v>
      </c>
      <c r="K86" s="61"/>
      <c r="AI86" s="59" t="s">
        <v>18</v>
      </c>
      <c r="AS86" s="51">
        <f>SUM(AJ87:AJ87)</f>
        <v>0</v>
      </c>
      <c r="AT86" s="51">
        <f>SUM(AK87:AK87)</f>
        <v>0</v>
      </c>
      <c r="AU86" s="51">
        <f>SUM(AL87:AL87)</f>
        <v>0</v>
      </c>
    </row>
    <row r="87" spans="1:76" x14ac:dyDescent="0.25">
      <c r="A87" s="78" t="s">
        <v>222</v>
      </c>
      <c r="B87" s="79" t="s">
        <v>18</v>
      </c>
      <c r="C87" s="79" t="s">
        <v>223</v>
      </c>
      <c r="D87" s="170" t="s">
        <v>224</v>
      </c>
      <c r="E87" s="171"/>
      <c r="F87" s="79" t="s">
        <v>184</v>
      </c>
      <c r="G87" s="62">
        <v>43.3</v>
      </c>
      <c r="H87" s="45">
        <v>0</v>
      </c>
      <c r="I87" s="45">
        <f>ROUND(G87*H87,2)</f>
        <v>0</v>
      </c>
      <c r="K87" s="61"/>
      <c r="Z87" s="62">
        <f>ROUND(IF(AQ87="5",BJ87,0),2)</f>
        <v>0</v>
      </c>
      <c r="AB87" s="62">
        <f>ROUND(IF(AQ87="1",BH87,0),2)</f>
        <v>0</v>
      </c>
      <c r="AC87" s="62">
        <f>ROUND(IF(AQ87="1",BI87,0),2)</f>
        <v>0</v>
      </c>
      <c r="AD87" s="62">
        <f>ROUND(IF(AQ87="7",BH87,0),2)</f>
        <v>0</v>
      </c>
      <c r="AE87" s="62">
        <f>ROUND(IF(AQ87="7",BI87,0),2)</f>
        <v>0</v>
      </c>
      <c r="AF87" s="62">
        <f>ROUND(IF(AQ87="2",BH87,0),2)</f>
        <v>0</v>
      </c>
      <c r="AG87" s="62">
        <f>ROUND(IF(AQ87="2",BI87,0),2)</f>
        <v>0</v>
      </c>
      <c r="AH87" s="62">
        <f>ROUND(IF(AQ87="0",BJ87,0),2)</f>
        <v>0</v>
      </c>
      <c r="AI87" s="59" t="s">
        <v>18</v>
      </c>
      <c r="AJ87" s="62">
        <f>IF(AN87=0,I87,0)</f>
        <v>0</v>
      </c>
      <c r="AK87" s="62">
        <f>IF(AN87=12,I87,0)</f>
        <v>0</v>
      </c>
      <c r="AL87" s="62">
        <f>IF(AN87=21,I87,0)</f>
        <v>0</v>
      </c>
      <c r="AN87" s="62">
        <v>21</v>
      </c>
      <c r="AO87" s="62">
        <f>H87*0.556102527</f>
        <v>0</v>
      </c>
      <c r="AP87" s="62">
        <f>H87*(1-0.556102527)</f>
        <v>0</v>
      </c>
      <c r="AQ87" s="63" t="s">
        <v>133</v>
      </c>
      <c r="AV87" s="62">
        <f>ROUND(AW87+AX87,2)</f>
        <v>0</v>
      </c>
      <c r="AW87" s="62">
        <f>ROUND(G87*AO87,2)</f>
        <v>0</v>
      </c>
      <c r="AX87" s="62">
        <f>ROUND(G87*AP87,2)</f>
        <v>0</v>
      </c>
      <c r="AY87" s="63" t="s">
        <v>225</v>
      </c>
      <c r="AZ87" s="63" t="s">
        <v>226</v>
      </c>
      <c r="BA87" s="59" t="s">
        <v>139</v>
      </c>
      <c r="BC87" s="62">
        <f>AW87+AX87</f>
        <v>0</v>
      </c>
      <c r="BD87" s="62">
        <f>H87/(100-BE87)*100</f>
        <v>0</v>
      </c>
      <c r="BE87" s="62">
        <v>0</v>
      </c>
      <c r="BF87" s="62">
        <f>87</f>
        <v>87</v>
      </c>
      <c r="BH87" s="62">
        <f>G87*AO87</f>
        <v>0</v>
      </c>
      <c r="BI87" s="62">
        <f>G87*AP87</f>
        <v>0</v>
      </c>
      <c r="BJ87" s="62">
        <f>G87*H87</f>
        <v>0</v>
      </c>
      <c r="BK87" s="62"/>
      <c r="BL87" s="62">
        <v>91</v>
      </c>
      <c r="BW87" s="62">
        <v>21</v>
      </c>
      <c r="BX87" s="64" t="s">
        <v>224</v>
      </c>
    </row>
    <row r="88" spans="1:76" x14ac:dyDescent="0.25">
      <c r="A88" s="80"/>
      <c r="D88" s="81" t="s">
        <v>19</v>
      </c>
      <c r="E88" s="81" t="s">
        <v>19</v>
      </c>
      <c r="G88" s="82">
        <v>43.3</v>
      </c>
      <c r="K88" s="61"/>
    </row>
    <row r="89" spans="1:76" x14ac:dyDescent="0.25">
      <c r="A89" s="80"/>
      <c r="D89" s="81" t="s">
        <v>207</v>
      </c>
      <c r="E89" s="81" t="s">
        <v>19</v>
      </c>
      <c r="G89" s="82">
        <v>29.3</v>
      </c>
      <c r="K89" s="61"/>
    </row>
    <row r="90" spans="1:76" x14ac:dyDescent="0.25">
      <c r="A90" s="80"/>
      <c r="D90" s="81" t="s">
        <v>19</v>
      </c>
      <c r="E90" s="81" t="s">
        <v>19</v>
      </c>
      <c r="G90" s="82">
        <v>29.3</v>
      </c>
      <c r="K90" s="61"/>
    </row>
    <row r="91" spans="1:76" x14ac:dyDescent="0.25">
      <c r="A91" s="80"/>
      <c r="D91" s="81" t="s">
        <v>227</v>
      </c>
      <c r="E91" s="81" t="s">
        <v>19</v>
      </c>
      <c r="G91" s="82">
        <v>14</v>
      </c>
      <c r="K91" s="61"/>
    </row>
    <row r="92" spans="1:76" x14ac:dyDescent="0.25">
      <c r="A92" s="80"/>
      <c r="D92" s="81" t="s">
        <v>19</v>
      </c>
      <c r="E92" s="81" t="s">
        <v>19</v>
      </c>
      <c r="G92" s="82">
        <v>14</v>
      </c>
      <c r="K92" s="61"/>
    </row>
    <row r="93" spans="1:76" x14ac:dyDescent="0.25">
      <c r="A93" s="75" t="s">
        <v>19</v>
      </c>
      <c r="B93" s="76" t="s">
        <v>18</v>
      </c>
      <c r="C93" s="76" t="s">
        <v>43</v>
      </c>
      <c r="D93" s="166" t="s">
        <v>44</v>
      </c>
      <c r="E93" s="167"/>
      <c r="F93" s="77" t="s">
        <v>3</v>
      </c>
      <c r="G93" s="77" t="s">
        <v>3</v>
      </c>
      <c r="H93" s="44" t="s">
        <v>3</v>
      </c>
      <c r="I93" s="37">
        <f>SUM(I94:I94)</f>
        <v>0</v>
      </c>
      <c r="K93" s="61"/>
      <c r="AI93" s="59" t="s">
        <v>18</v>
      </c>
      <c r="AS93" s="51">
        <f>SUM(AJ94:AJ94)</f>
        <v>0</v>
      </c>
      <c r="AT93" s="51">
        <f>SUM(AK94:AK94)</f>
        <v>0</v>
      </c>
      <c r="AU93" s="51">
        <f>SUM(AL94:AL94)</f>
        <v>0</v>
      </c>
    </row>
    <row r="94" spans="1:76" x14ac:dyDescent="0.25">
      <c r="A94" s="78" t="s">
        <v>228</v>
      </c>
      <c r="B94" s="79" t="s">
        <v>18</v>
      </c>
      <c r="C94" s="79" t="s">
        <v>229</v>
      </c>
      <c r="D94" s="170" t="s">
        <v>230</v>
      </c>
      <c r="E94" s="171"/>
      <c r="F94" s="79" t="s">
        <v>196</v>
      </c>
      <c r="G94" s="62">
        <v>157.166</v>
      </c>
      <c r="H94" s="45">
        <v>0</v>
      </c>
      <c r="I94" s="45">
        <f>ROUND(G94*H94,2)</f>
        <v>0</v>
      </c>
      <c r="K94" s="61"/>
      <c r="Z94" s="62">
        <f>ROUND(IF(AQ94="5",BJ94,0),2)</f>
        <v>0</v>
      </c>
      <c r="AB94" s="62">
        <f>ROUND(IF(AQ94="1",BH94,0),2)</f>
        <v>0</v>
      </c>
      <c r="AC94" s="62">
        <f>ROUND(IF(AQ94="1",BI94,0),2)</f>
        <v>0</v>
      </c>
      <c r="AD94" s="62">
        <f>ROUND(IF(AQ94="7",BH94,0),2)</f>
        <v>0</v>
      </c>
      <c r="AE94" s="62">
        <f>ROUND(IF(AQ94="7",BI94,0),2)</f>
        <v>0</v>
      </c>
      <c r="AF94" s="62">
        <f>ROUND(IF(AQ94="2",BH94,0),2)</f>
        <v>0</v>
      </c>
      <c r="AG94" s="62">
        <f>ROUND(IF(AQ94="2",BI94,0),2)</f>
        <v>0</v>
      </c>
      <c r="AH94" s="62">
        <f>ROUND(IF(AQ94="0",BJ94,0),2)</f>
        <v>0</v>
      </c>
      <c r="AI94" s="59" t="s">
        <v>18</v>
      </c>
      <c r="AJ94" s="62">
        <f>IF(AN94=0,I94,0)</f>
        <v>0</v>
      </c>
      <c r="AK94" s="62">
        <f>IF(AN94=12,I94,0)</f>
        <v>0</v>
      </c>
      <c r="AL94" s="62">
        <f>IF(AN94=21,I94,0)</f>
        <v>0</v>
      </c>
      <c r="AN94" s="62">
        <v>21</v>
      </c>
      <c r="AO94" s="62">
        <f>H94*0</f>
        <v>0</v>
      </c>
      <c r="AP94" s="62">
        <f>H94*(1-0)</f>
        <v>0</v>
      </c>
      <c r="AQ94" s="63" t="s">
        <v>149</v>
      </c>
      <c r="AV94" s="62">
        <f>ROUND(AW94+AX94,2)</f>
        <v>0</v>
      </c>
      <c r="AW94" s="62">
        <f>ROUND(G94*AO94,2)</f>
        <v>0</v>
      </c>
      <c r="AX94" s="62">
        <f>ROUND(G94*AP94,2)</f>
        <v>0</v>
      </c>
      <c r="AY94" s="63" t="s">
        <v>231</v>
      </c>
      <c r="AZ94" s="63" t="s">
        <v>226</v>
      </c>
      <c r="BA94" s="59" t="s">
        <v>139</v>
      </c>
      <c r="BC94" s="62">
        <f>AW94+AX94</f>
        <v>0</v>
      </c>
      <c r="BD94" s="62">
        <f>H94/(100-BE94)*100</f>
        <v>0</v>
      </c>
      <c r="BE94" s="62">
        <v>0</v>
      </c>
      <c r="BF94" s="62">
        <f>94</f>
        <v>94</v>
      </c>
      <c r="BH94" s="62">
        <f>G94*AO94</f>
        <v>0</v>
      </c>
      <c r="BI94" s="62">
        <f>G94*AP94</f>
        <v>0</v>
      </c>
      <c r="BJ94" s="62">
        <f>G94*H94</f>
        <v>0</v>
      </c>
      <c r="BK94" s="62"/>
      <c r="BL94" s="62"/>
      <c r="BW94" s="62">
        <v>21</v>
      </c>
      <c r="BX94" s="64" t="s">
        <v>230</v>
      </c>
    </row>
    <row r="95" spans="1:76" x14ac:dyDescent="0.25">
      <c r="A95" s="80"/>
      <c r="D95" s="81" t="s">
        <v>19</v>
      </c>
      <c r="E95" s="81" t="s">
        <v>19</v>
      </c>
      <c r="G95" s="82">
        <v>157.166</v>
      </c>
      <c r="K95" s="61"/>
    </row>
    <row r="96" spans="1:76" x14ac:dyDescent="0.25">
      <c r="A96" s="75" t="s">
        <v>19</v>
      </c>
      <c r="B96" s="76" t="s">
        <v>18</v>
      </c>
      <c r="C96" s="76" t="s">
        <v>45</v>
      </c>
      <c r="D96" s="166" t="s">
        <v>46</v>
      </c>
      <c r="E96" s="167"/>
      <c r="F96" s="77" t="s">
        <v>3</v>
      </c>
      <c r="G96" s="77" t="s">
        <v>3</v>
      </c>
      <c r="H96" s="44" t="s">
        <v>3</v>
      </c>
      <c r="I96" s="37">
        <f>SUM(I97:I97)</f>
        <v>-12210.7</v>
      </c>
      <c r="K96" s="61"/>
      <c r="AI96" s="59" t="s">
        <v>18</v>
      </c>
      <c r="AS96" s="51">
        <f>SUM(AJ97:AJ97)</f>
        <v>0</v>
      </c>
      <c r="AT96" s="51">
        <f>SUM(AK97:AK97)</f>
        <v>0</v>
      </c>
      <c r="AU96" s="51">
        <f>SUM(AL97:AL97)</f>
        <v>-12210.7</v>
      </c>
    </row>
    <row r="97" spans="1:76" x14ac:dyDescent="0.25">
      <c r="A97" s="83" t="s">
        <v>232</v>
      </c>
      <c r="B97" s="84" t="s">
        <v>18</v>
      </c>
      <c r="C97" s="84" t="s">
        <v>233</v>
      </c>
      <c r="D97" s="168" t="s">
        <v>234</v>
      </c>
      <c r="E97" s="169"/>
      <c r="F97" s="84" t="s">
        <v>196</v>
      </c>
      <c r="G97" s="85">
        <v>-122.107</v>
      </c>
      <c r="H97" s="46">
        <v>100</v>
      </c>
      <c r="I97" s="46">
        <f>ROUND(G97*H97,2)</f>
        <v>-12210.7</v>
      </c>
      <c r="J97" s="65"/>
      <c r="K97" s="66"/>
      <c r="Z97" s="62">
        <f>ROUND(IF(AQ97="5",BJ97,0),2)</f>
        <v>-12210.7</v>
      </c>
      <c r="AB97" s="62">
        <f>ROUND(IF(AQ97="1",BH97,0),2)</f>
        <v>0</v>
      </c>
      <c r="AC97" s="62">
        <f>ROUND(IF(AQ97="1",BI97,0),2)</f>
        <v>0</v>
      </c>
      <c r="AD97" s="62">
        <f>ROUND(IF(AQ97="7",BH97,0),2)</f>
        <v>0</v>
      </c>
      <c r="AE97" s="62">
        <f>ROUND(IF(AQ97="7",BI97,0),2)</f>
        <v>0</v>
      </c>
      <c r="AF97" s="62">
        <f>ROUND(IF(AQ97="2",BH97,0),2)</f>
        <v>0</v>
      </c>
      <c r="AG97" s="62">
        <f>ROUND(IF(AQ97="2",BI97,0),2)</f>
        <v>0</v>
      </c>
      <c r="AH97" s="62">
        <f>ROUND(IF(AQ97="0",BJ97,0),2)</f>
        <v>0</v>
      </c>
      <c r="AI97" s="59" t="s">
        <v>18</v>
      </c>
      <c r="AJ97" s="62">
        <f>IF(AN97=0,I97,0)</f>
        <v>0</v>
      </c>
      <c r="AK97" s="62">
        <f>IF(AN97=12,I97,0)</f>
        <v>0</v>
      </c>
      <c r="AL97" s="62">
        <f>IF(AN97=21,I97,0)</f>
        <v>-12210.7</v>
      </c>
      <c r="AN97" s="62">
        <v>21</v>
      </c>
      <c r="AO97" s="62">
        <f>H97*0</f>
        <v>0</v>
      </c>
      <c r="AP97" s="62">
        <f>H97*(1-0)</f>
        <v>100</v>
      </c>
      <c r="AQ97" s="63" t="s">
        <v>149</v>
      </c>
      <c r="AV97" s="62">
        <f>ROUND(AW97+AX97,2)</f>
        <v>-12210.7</v>
      </c>
      <c r="AW97" s="62">
        <f>ROUND(G97*AO97,2)</f>
        <v>0</v>
      </c>
      <c r="AX97" s="62">
        <f>ROUND(G97*AP97,2)</f>
        <v>-12210.7</v>
      </c>
      <c r="AY97" s="63" t="s">
        <v>235</v>
      </c>
      <c r="AZ97" s="63" t="s">
        <v>226</v>
      </c>
      <c r="BA97" s="59" t="s">
        <v>139</v>
      </c>
      <c r="BC97" s="62">
        <f>AW97+AX97</f>
        <v>-12210.7</v>
      </c>
      <c r="BD97" s="62">
        <f>H97/(100-BE97)*100</f>
        <v>100</v>
      </c>
      <c r="BE97" s="62">
        <v>0</v>
      </c>
      <c r="BF97" s="62">
        <f>97</f>
        <v>97</v>
      </c>
      <c r="BH97" s="62">
        <f>G97*AO97</f>
        <v>0</v>
      </c>
      <c r="BI97" s="62">
        <f>G97*AP97</f>
        <v>-12210.7</v>
      </c>
      <c r="BJ97" s="62">
        <f>G97*H97</f>
        <v>-12210.7</v>
      </c>
      <c r="BK97" s="62"/>
      <c r="BL97" s="62"/>
      <c r="BW97" s="62">
        <v>21</v>
      </c>
      <c r="BX97" s="64" t="s">
        <v>234</v>
      </c>
    </row>
    <row r="98" spans="1:76" x14ac:dyDescent="0.25">
      <c r="I98" s="47">
        <f>ROUND(I13+I24+I40+I46+I49+I52+I58+I71+I79+I86+I93+I96,2)</f>
        <v>-12210.7</v>
      </c>
    </row>
    <row r="99" spans="1:76" x14ac:dyDescent="0.25">
      <c r="A99" s="86" t="s">
        <v>94</v>
      </c>
    </row>
  </sheetData>
  <sheetProtection algorithmName="SHA-512" hashValue="zPPYAvp361bTDUR7HTuUINU3noD6do3k7tykqageAA2Ppz6IMjuDetmz2xcaM4ZpVaFXRJzLdTrSeTc3/dm3iQ==" saltValue="UruWtCEiGpMbN3KN00FRVA==" spinCount="100000" sheet="1" objects="1" scenarios="1"/>
  <mergeCells count="61">
    <mergeCell ref="A2:C3"/>
    <mergeCell ref="A4:C5"/>
    <mergeCell ref="A6:C7"/>
    <mergeCell ref="A8:C9"/>
    <mergeCell ref="F2:G3"/>
    <mergeCell ref="F4:G5"/>
    <mergeCell ref="F6:G7"/>
    <mergeCell ref="F8:G9"/>
    <mergeCell ref="D2:E3"/>
    <mergeCell ref="D4:E5"/>
    <mergeCell ref="D6:E7"/>
    <mergeCell ref="I2:I3"/>
    <mergeCell ref="I4:I5"/>
    <mergeCell ref="I6:I7"/>
    <mergeCell ref="I8:I9"/>
    <mergeCell ref="D11:E11"/>
    <mergeCell ref="D10:E10"/>
    <mergeCell ref="D8:E9"/>
    <mergeCell ref="H2:H3"/>
    <mergeCell ref="H4:H5"/>
    <mergeCell ref="H6:H7"/>
    <mergeCell ref="H8:H9"/>
    <mergeCell ref="D12:E12"/>
    <mergeCell ref="D13:E13"/>
    <mergeCell ref="D14:E14"/>
    <mergeCell ref="D16:E16"/>
    <mergeCell ref="D18:E18"/>
    <mergeCell ref="D20:E20"/>
    <mergeCell ref="D22:E22"/>
    <mergeCell ref="D24:E24"/>
    <mergeCell ref="D25:E25"/>
    <mergeCell ref="D35:E35"/>
    <mergeCell ref="D40:E40"/>
    <mergeCell ref="D41:E41"/>
    <mergeCell ref="D46:E46"/>
    <mergeCell ref="D47:E47"/>
    <mergeCell ref="D67:E67"/>
    <mergeCell ref="D69:E69"/>
    <mergeCell ref="D71:E71"/>
    <mergeCell ref="D68:E68"/>
    <mergeCell ref="D49:E49"/>
    <mergeCell ref="D50:E50"/>
    <mergeCell ref="D52:E52"/>
    <mergeCell ref="D53:E53"/>
    <mergeCell ref="D58:E58"/>
    <mergeCell ref="D77:E77"/>
    <mergeCell ref="A1:G1"/>
    <mergeCell ref="D96:E96"/>
    <mergeCell ref="D97:E97"/>
    <mergeCell ref="D84:E84"/>
    <mergeCell ref="D86:E86"/>
    <mergeCell ref="D87:E87"/>
    <mergeCell ref="D93:E93"/>
    <mergeCell ref="D94:E94"/>
    <mergeCell ref="D72:E72"/>
    <mergeCell ref="D76:E76"/>
    <mergeCell ref="D79:E79"/>
    <mergeCell ref="D80:E80"/>
    <mergeCell ref="D82:E82"/>
    <mergeCell ref="D59:E59"/>
    <mergeCell ref="D63:E63"/>
  </mergeCells>
  <pageMargins left="0.393999993801117" right="0.393999993801117" top="0.59100002050399802" bottom="0.59100002050399802" header="0" footer="0"/>
  <pageSetup scale="64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cp:lastPrinted>2025-04-29T09:13:26Z</cp:lastPrinted>
  <dcterms:created xsi:type="dcterms:W3CDTF">2021-06-10T20:06:38Z</dcterms:created>
  <dcterms:modified xsi:type="dcterms:W3CDTF">2025-04-29T09:45:48Z</dcterms:modified>
</cp:coreProperties>
</file>